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userName="s349016" algorithmName="SHA-512" hashValue="8RO/DJG3rVcjUPNUE4v+nhML9DOwomhmofDfp8UNyt0XEOn6OLisV3IafDEfPXAu/V7Z/uuOWEM5RhopEcjswA==" saltValue="aZ65EMPkQFB9xpsBjh8Z/w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Projected\2023 Projection\Filed Documents 10-31-22\"/>
    </mc:Choice>
  </mc:AlternateContent>
  <xr:revisionPtr revIDLastSave="0" documentId="13_ncr:10001_{BE576FBD-0466-4AD7-AE20-968FC7708925}" xr6:coauthVersionLast="47" xr6:coauthVersionMax="47" xr10:uidLastSave="{00000000-0000-0000-0000-000000000000}"/>
  <bookViews>
    <workbookView xWindow="-28920" yWindow="-1155" windowWidth="29040" windowHeight="15840" tabRatio="887" xr2:uid="{00000000-000D-0000-FFFF-FFFF00000000}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030" sheetId="48" r:id="rId33"/>
    <sheet name="P.031" sheetId="49" r:id="rId34"/>
    <sheet name="P.xyz - blank" sheetId="13" r:id="rId35"/>
  </sheets>
  <externalReferences>
    <externalReference r:id="rId36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4">'P.xyz - blank'!$A$1:$P$165</definedName>
    <definedName name="_xlnm.Print_Area" localSheetId="0">'PSO.Sch.11.Rates'!$A$1:$V$53</definedName>
    <definedName name="_xlnm.Print_Area" localSheetId="1">'PSO.WS.F.BPU.ATRR.Projected'!$A$1:$O$93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4">'P.xyz - blank'!#REF!</definedName>
    <definedName name="_xlnm.Print_Titles" localSheetId="1">'PSO.WS.F.BPU.ATRR.Projected'!$1:$6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8" i="47" l="1"/>
  <c r="M88" i="47"/>
  <c r="O88" i="47"/>
  <c r="L99" i="47"/>
  <c r="N99" i="47"/>
  <c r="M19" i="46" l="1"/>
  <c r="K19" i="46"/>
  <c r="L19" i="46" s="1"/>
  <c r="M20" i="45"/>
  <c r="K20" i="45"/>
  <c r="L20" i="45" s="1"/>
  <c r="M20" i="44"/>
  <c r="K20" i="44"/>
  <c r="L20" i="44" s="1"/>
  <c r="M21" i="43"/>
  <c r="K21" i="43"/>
  <c r="L21" i="43" s="1"/>
  <c r="M21" i="42"/>
  <c r="K21" i="42"/>
  <c r="L21" i="42" s="1"/>
  <c r="M21" i="41"/>
  <c r="K21" i="41"/>
  <c r="L21" i="41" s="1"/>
  <c r="M21" i="40"/>
  <c r="K21" i="40"/>
  <c r="L21" i="40" s="1"/>
  <c r="M22" i="39"/>
  <c r="K22" i="39"/>
  <c r="L22" i="39" s="1"/>
  <c r="M22" i="38"/>
  <c r="K22" i="38"/>
  <c r="L22" i="38" s="1"/>
  <c r="M22" i="37"/>
  <c r="K22" i="37"/>
  <c r="L22" i="37" s="1"/>
  <c r="M25" i="31"/>
  <c r="K25" i="31"/>
  <c r="L25" i="31" s="1"/>
  <c r="M24" i="30"/>
  <c r="K24" i="30"/>
  <c r="L24" i="30" s="1"/>
  <c r="M25" i="29"/>
  <c r="K25" i="29"/>
  <c r="L25" i="29" s="1"/>
  <c r="M25" i="28"/>
  <c r="K25" i="28"/>
  <c r="L25" i="28" s="1"/>
  <c r="M26" i="27"/>
  <c r="K26" i="27"/>
  <c r="L26" i="27" s="1"/>
  <c r="M29" i="25"/>
  <c r="K29" i="25"/>
  <c r="L29" i="25" s="1"/>
  <c r="M27" i="24"/>
  <c r="K27" i="24"/>
  <c r="L27" i="24" s="1"/>
  <c r="M28" i="23"/>
  <c r="K28" i="23"/>
  <c r="L28" i="23" s="1"/>
  <c r="M29" i="22"/>
  <c r="K29" i="22"/>
  <c r="L29" i="22" s="1"/>
  <c r="M32" i="11"/>
  <c r="K32" i="11"/>
  <c r="L32" i="11" s="1"/>
  <c r="M33" i="10"/>
  <c r="K33" i="10"/>
  <c r="L33" i="10" s="1"/>
  <c r="L34" i="10"/>
  <c r="M32" i="9"/>
  <c r="K32" i="9"/>
  <c r="L32" i="9" s="1"/>
  <c r="M31" i="8"/>
  <c r="K31" i="8"/>
  <c r="L31" i="8" s="1"/>
  <c r="M33" i="7"/>
  <c r="K33" i="7"/>
  <c r="L33" i="7" s="1"/>
  <c r="M31" i="6"/>
  <c r="K31" i="6"/>
  <c r="L31" i="6" s="1"/>
  <c r="M30" i="5"/>
  <c r="K30" i="5"/>
  <c r="L30" i="5" s="1"/>
  <c r="M30" i="4"/>
  <c r="K30" i="4"/>
  <c r="L30" i="4" s="1"/>
  <c r="M30" i="3"/>
  <c r="K30" i="3"/>
  <c r="L30" i="3" s="1"/>
  <c r="M28" i="22"/>
  <c r="K28" i="22"/>
  <c r="L28" i="22" s="1"/>
  <c r="M28" i="25" l="1"/>
  <c r="K28" i="25"/>
  <c r="L28" i="25" s="1"/>
  <c r="M26" i="24"/>
  <c r="K26" i="24"/>
  <c r="L26" i="24" s="1"/>
  <c r="M27" i="23"/>
  <c r="K27" i="23"/>
  <c r="L27" i="23" s="1"/>
  <c r="D113" i="9"/>
  <c r="O154" i="25" l="1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O108" i="25"/>
  <c r="N109" i="25"/>
  <c r="O109" i="25" s="1"/>
  <c r="L109" i="25"/>
  <c r="M109" i="25" s="1"/>
  <c r="N108" i="25"/>
  <c r="L108" i="25"/>
  <c r="M108" i="25" s="1"/>
  <c r="N107" i="24"/>
  <c r="L107" i="24"/>
  <c r="M107" i="24" s="1"/>
  <c r="N106" i="24"/>
  <c r="L106" i="24"/>
  <c r="M106" i="24" s="1"/>
  <c r="N108" i="23"/>
  <c r="L108" i="23"/>
  <c r="M108" i="23" s="1"/>
  <c r="N107" i="23"/>
  <c r="L107" i="23"/>
  <c r="M107" i="23" s="1"/>
  <c r="N109" i="22"/>
  <c r="L109" i="22"/>
  <c r="M109" i="22" s="1"/>
  <c r="N108" i="22"/>
  <c r="L108" i="22"/>
  <c r="M108" i="22" s="1"/>
  <c r="W44" i="17" l="1"/>
  <c r="P48" i="17"/>
  <c r="L48" i="17"/>
  <c r="P47" i="17"/>
  <c r="L47" i="17"/>
  <c r="P46" i="17"/>
  <c r="L46" i="17"/>
  <c r="D94" i="49"/>
  <c r="D93" i="49"/>
  <c r="D94" i="48"/>
  <c r="D93" i="48"/>
  <c r="C99" i="48" s="1"/>
  <c r="C100" i="48" s="1"/>
  <c r="C101" i="48" s="1"/>
  <c r="C102" i="48" s="1"/>
  <c r="C103" i="48" s="1"/>
  <c r="C104" i="48" s="1"/>
  <c r="C105" i="48" s="1"/>
  <c r="C106" i="48" s="1"/>
  <c r="C107" i="48" s="1"/>
  <c r="C108" i="48" s="1"/>
  <c r="C109" i="48" s="1"/>
  <c r="C110" i="48" s="1"/>
  <c r="C111" i="48" s="1"/>
  <c r="C112" i="48" s="1"/>
  <c r="C113" i="48" s="1"/>
  <c r="C114" i="48" s="1"/>
  <c r="C115" i="48" s="1"/>
  <c r="C116" i="48" s="1"/>
  <c r="C117" i="48" s="1"/>
  <c r="C118" i="48" s="1"/>
  <c r="C119" i="48" s="1"/>
  <c r="C120" i="48" s="1"/>
  <c r="C121" i="48" s="1"/>
  <c r="C122" i="48" s="1"/>
  <c r="C123" i="48" s="1"/>
  <c r="C124" i="48" s="1"/>
  <c r="C125" i="48" s="1"/>
  <c r="C126" i="48" s="1"/>
  <c r="C127" i="48" s="1"/>
  <c r="C128" i="48" s="1"/>
  <c r="C129" i="48" s="1"/>
  <c r="C130" i="48" s="1"/>
  <c r="C131" i="48" s="1"/>
  <c r="C132" i="48" s="1"/>
  <c r="C133" i="48" s="1"/>
  <c r="C134" i="48" s="1"/>
  <c r="C135" i="48" s="1"/>
  <c r="C136" i="48" s="1"/>
  <c r="C137" i="48" s="1"/>
  <c r="C138" i="48" s="1"/>
  <c r="C139" i="48" s="1"/>
  <c r="C140" i="48" s="1"/>
  <c r="C141" i="48" s="1"/>
  <c r="C142" i="48" s="1"/>
  <c r="C143" i="48" s="1"/>
  <c r="C144" i="48" s="1"/>
  <c r="C145" i="48" s="1"/>
  <c r="C146" i="48" s="1"/>
  <c r="C147" i="48" s="1"/>
  <c r="C148" i="48" s="1"/>
  <c r="C149" i="48" s="1"/>
  <c r="C150" i="48" s="1"/>
  <c r="C151" i="48" s="1"/>
  <c r="C152" i="48" s="1"/>
  <c r="C153" i="48" s="1"/>
  <c r="C154" i="48" s="1"/>
  <c r="L18" i="47"/>
  <c r="D91" i="48"/>
  <c r="L18" i="48"/>
  <c r="D91" i="46"/>
  <c r="D89" i="46"/>
  <c r="D89" i="49"/>
  <c r="D89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54" i="49"/>
  <c r="J153" i="49"/>
  <c r="J152" i="49"/>
  <c r="J151" i="49"/>
  <c r="J150" i="49"/>
  <c r="J149" i="49"/>
  <c r="J148" i="49"/>
  <c r="J147" i="49"/>
  <c r="J146" i="49"/>
  <c r="J145" i="49"/>
  <c r="J144" i="49"/>
  <c r="J143" i="49"/>
  <c r="J142" i="49"/>
  <c r="J141" i="49"/>
  <c r="J140" i="49"/>
  <c r="J139" i="49"/>
  <c r="J138" i="49"/>
  <c r="J137" i="49"/>
  <c r="J136" i="49"/>
  <c r="J135" i="49"/>
  <c r="J134" i="49"/>
  <c r="J133" i="49"/>
  <c r="J132" i="49"/>
  <c r="J131" i="49"/>
  <c r="N18" i="49"/>
  <c r="L18" i="49"/>
  <c r="P154" i="49"/>
  <c r="O154" i="49"/>
  <c r="M154" i="49"/>
  <c r="P153" i="49"/>
  <c r="O153" i="49"/>
  <c r="M153" i="49"/>
  <c r="P152" i="49"/>
  <c r="O152" i="49"/>
  <c r="M152" i="49"/>
  <c r="P151" i="49"/>
  <c r="O151" i="49"/>
  <c r="M151" i="49"/>
  <c r="P150" i="49"/>
  <c r="O150" i="49"/>
  <c r="M150" i="49"/>
  <c r="P149" i="49"/>
  <c r="O149" i="49"/>
  <c r="M149" i="49"/>
  <c r="P148" i="49"/>
  <c r="O148" i="49"/>
  <c r="M148" i="49"/>
  <c r="P147" i="49"/>
  <c r="O147" i="49"/>
  <c r="M147" i="49"/>
  <c r="P146" i="49"/>
  <c r="O146" i="49"/>
  <c r="M146" i="49"/>
  <c r="P145" i="49"/>
  <c r="O145" i="49"/>
  <c r="M145" i="49"/>
  <c r="P144" i="49"/>
  <c r="O144" i="49"/>
  <c r="M144" i="49"/>
  <c r="P143" i="49"/>
  <c r="O143" i="49"/>
  <c r="M143" i="49"/>
  <c r="P142" i="49"/>
  <c r="O142" i="49"/>
  <c r="M142" i="49"/>
  <c r="P141" i="49"/>
  <c r="O141" i="49"/>
  <c r="M141" i="49"/>
  <c r="P140" i="49"/>
  <c r="O140" i="49"/>
  <c r="M140" i="49"/>
  <c r="P139" i="49"/>
  <c r="O139" i="49"/>
  <c r="M139" i="49"/>
  <c r="P138" i="49"/>
  <c r="O138" i="49"/>
  <c r="M138" i="49"/>
  <c r="P137" i="49"/>
  <c r="O137" i="49"/>
  <c r="M137" i="49"/>
  <c r="P136" i="49"/>
  <c r="O136" i="49"/>
  <c r="M136" i="49"/>
  <c r="P135" i="49"/>
  <c r="O135" i="49"/>
  <c r="M135" i="49"/>
  <c r="P134" i="49"/>
  <c r="O134" i="49"/>
  <c r="M134" i="49"/>
  <c r="P133" i="49"/>
  <c r="O133" i="49"/>
  <c r="M133" i="49"/>
  <c r="P132" i="49"/>
  <c r="O132" i="49"/>
  <c r="M132" i="49"/>
  <c r="P131" i="49"/>
  <c r="O131" i="49"/>
  <c r="M131" i="49"/>
  <c r="O130" i="49"/>
  <c r="M130" i="49"/>
  <c r="O129" i="49"/>
  <c r="M129" i="49"/>
  <c r="O128" i="49"/>
  <c r="M128" i="49"/>
  <c r="O127" i="49"/>
  <c r="M127" i="49"/>
  <c r="O126" i="49"/>
  <c r="M126" i="49"/>
  <c r="O125" i="49"/>
  <c r="M125" i="49"/>
  <c r="O124" i="49"/>
  <c r="M124" i="49"/>
  <c r="O123" i="49"/>
  <c r="M123" i="49"/>
  <c r="O122" i="49"/>
  <c r="M122" i="49"/>
  <c r="O121" i="49"/>
  <c r="M121" i="49"/>
  <c r="O120" i="49"/>
  <c r="M120" i="49"/>
  <c r="O119" i="49"/>
  <c r="M119" i="49"/>
  <c r="O118" i="49"/>
  <c r="M118" i="49"/>
  <c r="O117" i="49"/>
  <c r="M117" i="49"/>
  <c r="O116" i="49"/>
  <c r="M116" i="49"/>
  <c r="O115" i="49"/>
  <c r="M115" i="49"/>
  <c r="O114" i="49"/>
  <c r="M114" i="49"/>
  <c r="O113" i="49"/>
  <c r="M113" i="49"/>
  <c r="O112" i="49"/>
  <c r="M112" i="49"/>
  <c r="O111" i="49"/>
  <c r="M111" i="49"/>
  <c r="O110" i="49"/>
  <c r="M110" i="49"/>
  <c r="O109" i="49"/>
  <c r="M109" i="49"/>
  <c r="O108" i="49"/>
  <c r="M108" i="49"/>
  <c r="O107" i="49"/>
  <c r="M107" i="49"/>
  <c r="O106" i="49"/>
  <c r="M106" i="49"/>
  <c r="O105" i="49"/>
  <c r="M105" i="49"/>
  <c r="O104" i="49"/>
  <c r="M104" i="49"/>
  <c r="O103" i="49"/>
  <c r="M103" i="49"/>
  <c r="O102" i="49"/>
  <c r="M102" i="49"/>
  <c r="O101" i="49"/>
  <c r="M101" i="49"/>
  <c r="O100" i="49"/>
  <c r="M100" i="49"/>
  <c r="C99" i="49"/>
  <c r="C100" i="49" s="1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D96" i="49"/>
  <c r="L93" i="49"/>
  <c r="J93" i="49"/>
  <c r="N72" i="49"/>
  <c r="L72" i="49"/>
  <c r="N71" i="49"/>
  <c r="L71" i="49"/>
  <c r="N70" i="49"/>
  <c r="L70" i="49"/>
  <c r="N69" i="49"/>
  <c r="L69" i="49"/>
  <c r="N68" i="49"/>
  <c r="L68" i="49"/>
  <c r="N67" i="49"/>
  <c r="L67" i="49"/>
  <c r="N66" i="49"/>
  <c r="L66" i="49"/>
  <c r="N65" i="49"/>
  <c r="L65" i="49"/>
  <c r="N64" i="49"/>
  <c r="L64" i="49"/>
  <c r="N63" i="49"/>
  <c r="L63" i="49"/>
  <c r="N62" i="49"/>
  <c r="L62" i="49"/>
  <c r="N61" i="49"/>
  <c r="L61" i="49"/>
  <c r="N60" i="49"/>
  <c r="L60" i="49"/>
  <c r="N59" i="49"/>
  <c r="L59" i="49"/>
  <c r="N58" i="49"/>
  <c r="L58" i="49"/>
  <c r="N57" i="49"/>
  <c r="L57" i="49"/>
  <c r="N56" i="49"/>
  <c r="L56" i="49"/>
  <c r="N55" i="49"/>
  <c r="L55" i="49"/>
  <c r="N54" i="49"/>
  <c r="L54" i="49"/>
  <c r="N53" i="49"/>
  <c r="L53" i="49"/>
  <c r="N52" i="49"/>
  <c r="L52" i="49"/>
  <c r="N51" i="49"/>
  <c r="L51" i="49"/>
  <c r="N50" i="49"/>
  <c r="L50" i="49"/>
  <c r="N49" i="49"/>
  <c r="L49" i="49"/>
  <c r="N48" i="49"/>
  <c r="L48" i="49"/>
  <c r="N47" i="49"/>
  <c r="L47" i="49"/>
  <c r="N46" i="49"/>
  <c r="L46" i="49"/>
  <c r="N45" i="49"/>
  <c r="L45" i="49"/>
  <c r="N44" i="49"/>
  <c r="L44" i="49"/>
  <c r="N43" i="49"/>
  <c r="L43" i="49"/>
  <c r="N42" i="49"/>
  <c r="L42" i="49"/>
  <c r="N41" i="49"/>
  <c r="L41" i="49"/>
  <c r="N40" i="49"/>
  <c r="L40" i="49"/>
  <c r="N39" i="49"/>
  <c r="L39" i="49"/>
  <c r="N38" i="49"/>
  <c r="L38" i="49"/>
  <c r="N37" i="49"/>
  <c r="L37" i="49"/>
  <c r="N36" i="49"/>
  <c r="L36" i="49"/>
  <c r="N35" i="49"/>
  <c r="L35" i="49"/>
  <c r="N34" i="49"/>
  <c r="L34" i="49"/>
  <c r="N33" i="49"/>
  <c r="L33" i="49"/>
  <c r="N32" i="49"/>
  <c r="L32" i="49"/>
  <c r="N31" i="49"/>
  <c r="L31" i="49"/>
  <c r="N30" i="49"/>
  <c r="L30" i="49"/>
  <c r="N29" i="49"/>
  <c r="L29" i="49"/>
  <c r="N28" i="49"/>
  <c r="L28" i="49"/>
  <c r="N27" i="49"/>
  <c r="L27" i="49"/>
  <c r="N26" i="49"/>
  <c r="L26" i="49"/>
  <c r="N25" i="49"/>
  <c r="L25" i="49"/>
  <c r="N24" i="49"/>
  <c r="L24" i="49"/>
  <c r="N23" i="49"/>
  <c r="L23" i="49"/>
  <c r="N22" i="49"/>
  <c r="L22" i="49"/>
  <c r="N21" i="49"/>
  <c r="L21" i="49"/>
  <c r="N20" i="49"/>
  <c r="L20" i="49"/>
  <c r="N19" i="49"/>
  <c r="L19" i="49"/>
  <c r="C17" i="49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K11" i="49"/>
  <c r="I11" i="49"/>
  <c r="P1" i="49"/>
  <c r="P83" i="49" s="1"/>
  <c r="P154" i="48"/>
  <c r="O154" i="48"/>
  <c r="M154" i="48"/>
  <c r="P153" i="48"/>
  <c r="O153" i="48"/>
  <c r="M153" i="48"/>
  <c r="P152" i="48"/>
  <c r="O152" i="48"/>
  <c r="M152" i="48"/>
  <c r="P151" i="48"/>
  <c r="O151" i="48"/>
  <c r="M151" i="48"/>
  <c r="P150" i="48"/>
  <c r="O150" i="48"/>
  <c r="M150" i="48"/>
  <c r="P149" i="48"/>
  <c r="O149" i="48"/>
  <c r="M149" i="48"/>
  <c r="P148" i="48"/>
  <c r="O148" i="48"/>
  <c r="M148" i="48"/>
  <c r="P147" i="48"/>
  <c r="O147" i="48"/>
  <c r="M147" i="48"/>
  <c r="P146" i="48"/>
  <c r="O146" i="48"/>
  <c r="M146" i="48"/>
  <c r="P145" i="48"/>
  <c r="O145" i="48"/>
  <c r="M145" i="48"/>
  <c r="P144" i="48"/>
  <c r="O144" i="48"/>
  <c r="M144" i="48"/>
  <c r="P143" i="48"/>
  <c r="O143" i="48"/>
  <c r="M143" i="48"/>
  <c r="P142" i="48"/>
  <c r="O142" i="48"/>
  <c r="M142" i="48"/>
  <c r="P141" i="48"/>
  <c r="O141" i="48"/>
  <c r="M141" i="48"/>
  <c r="P140" i="48"/>
  <c r="O140" i="48"/>
  <c r="M140" i="48"/>
  <c r="P139" i="48"/>
  <c r="O139" i="48"/>
  <c r="M139" i="48"/>
  <c r="P138" i="48"/>
  <c r="O138" i="48"/>
  <c r="M138" i="48"/>
  <c r="P137" i="48"/>
  <c r="O137" i="48"/>
  <c r="M137" i="48"/>
  <c r="P136" i="48"/>
  <c r="O136" i="48"/>
  <c r="M136" i="48"/>
  <c r="P135" i="48"/>
  <c r="O135" i="48"/>
  <c r="M135" i="48"/>
  <c r="P134" i="48"/>
  <c r="O134" i="48"/>
  <c r="M134" i="48"/>
  <c r="P133" i="48"/>
  <c r="O133" i="48"/>
  <c r="M133" i="48"/>
  <c r="P132" i="48"/>
  <c r="O132" i="48"/>
  <c r="M132" i="48"/>
  <c r="P131" i="48"/>
  <c r="O131" i="48"/>
  <c r="M131" i="48"/>
  <c r="O130" i="48"/>
  <c r="M130" i="48"/>
  <c r="O129" i="48"/>
  <c r="M129" i="48"/>
  <c r="O128" i="48"/>
  <c r="M128" i="48"/>
  <c r="O127" i="48"/>
  <c r="M127" i="48"/>
  <c r="O126" i="48"/>
  <c r="M126" i="48"/>
  <c r="O125" i="48"/>
  <c r="M125" i="48"/>
  <c r="O124" i="48"/>
  <c r="M124" i="48"/>
  <c r="O123" i="48"/>
  <c r="M123" i="48"/>
  <c r="O122" i="48"/>
  <c r="M122" i="48"/>
  <c r="O121" i="48"/>
  <c r="M121" i="48"/>
  <c r="O120" i="48"/>
  <c r="M120" i="48"/>
  <c r="O119" i="48"/>
  <c r="M119" i="48"/>
  <c r="O118" i="48"/>
  <c r="M118" i="48"/>
  <c r="O117" i="48"/>
  <c r="M117" i="48"/>
  <c r="O116" i="48"/>
  <c r="M116" i="48"/>
  <c r="O115" i="48"/>
  <c r="M115" i="48"/>
  <c r="O114" i="48"/>
  <c r="M114" i="48"/>
  <c r="O113" i="48"/>
  <c r="M113" i="48"/>
  <c r="O112" i="48"/>
  <c r="M112" i="48"/>
  <c r="O111" i="48"/>
  <c r="M111" i="48"/>
  <c r="O110" i="48"/>
  <c r="M110" i="48"/>
  <c r="O109" i="48"/>
  <c r="M109" i="48"/>
  <c r="O108" i="48"/>
  <c r="M108" i="48"/>
  <c r="O107" i="48"/>
  <c r="M107" i="48"/>
  <c r="O106" i="48"/>
  <c r="M106" i="48"/>
  <c r="O105" i="48"/>
  <c r="M105" i="48"/>
  <c r="O104" i="48"/>
  <c r="M104" i="48"/>
  <c r="O103" i="48"/>
  <c r="M103" i="48"/>
  <c r="O102" i="48"/>
  <c r="M102" i="48"/>
  <c r="O101" i="48"/>
  <c r="M101" i="48"/>
  <c r="O100" i="48"/>
  <c r="M100" i="48"/>
  <c r="D96" i="48"/>
  <c r="L93" i="48"/>
  <c r="J93" i="48"/>
  <c r="N72" i="48"/>
  <c r="L72" i="48"/>
  <c r="N71" i="48"/>
  <c r="L71" i="48"/>
  <c r="N70" i="48"/>
  <c r="L70" i="48"/>
  <c r="N69" i="48"/>
  <c r="L69" i="48"/>
  <c r="N68" i="48"/>
  <c r="L68" i="48"/>
  <c r="N67" i="48"/>
  <c r="L67" i="48"/>
  <c r="N66" i="48"/>
  <c r="L66" i="48"/>
  <c r="N65" i="48"/>
  <c r="L65" i="48"/>
  <c r="N64" i="48"/>
  <c r="L64" i="48"/>
  <c r="N63" i="48"/>
  <c r="L63" i="48"/>
  <c r="N62" i="48"/>
  <c r="L62" i="48"/>
  <c r="N61" i="48"/>
  <c r="L61" i="48"/>
  <c r="N60" i="48"/>
  <c r="L60" i="48"/>
  <c r="N59" i="48"/>
  <c r="L59" i="48"/>
  <c r="N58" i="48"/>
  <c r="L58" i="48"/>
  <c r="N57" i="48"/>
  <c r="L57" i="48"/>
  <c r="N56" i="48"/>
  <c r="L56" i="48"/>
  <c r="N55" i="48"/>
  <c r="L55" i="48"/>
  <c r="N54" i="48"/>
  <c r="L54" i="48"/>
  <c r="N53" i="48"/>
  <c r="L53" i="48"/>
  <c r="N52" i="48"/>
  <c r="L52" i="48"/>
  <c r="N51" i="48"/>
  <c r="L51" i="48"/>
  <c r="N50" i="48"/>
  <c r="L50" i="48"/>
  <c r="N49" i="48"/>
  <c r="L49" i="48"/>
  <c r="N48" i="48"/>
  <c r="L48" i="48"/>
  <c r="N47" i="48"/>
  <c r="L47" i="48"/>
  <c r="N46" i="48"/>
  <c r="L46" i="48"/>
  <c r="N45" i="48"/>
  <c r="L45" i="48"/>
  <c r="N44" i="48"/>
  <c r="L44" i="48"/>
  <c r="N43" i="48"/>
  <c r="L43" i="48"/>
  <c r="N42" i="48"/>
  <c r="L42" i="48"/>
  <c r="N41" i="48"/>
  <c r="L41" i="48"/>
  <c r="N40" i="48"/>
  <c r="L40" i="48"/>
  <c r="N39" i="48"/>
  <c r="L39" i="48"/>
  <c r="N38" i="48"/>
  <c r="L38" i="48"/>
  <c r="N37" i="48"/>
  <c r="L37" i="48"/>
  <c r="N36" i="48"/>
  <c r="L36" i="48"/>
  <c r="N35" i="48"/>
  <c r="L35" i="48"/>
  <c r="N34" i="48"/>
  <c r="L34" i="48"/>
  <c r="N33" i="48"/>
  <c r="L33" i="48"/>
  <c r="N32" i="48"/>
  <c r="L32" i="48"/>
  <c r="N31" i="48"/>
  <c r="L31" i="48"/>
  <c r="N30" i="48"/>
  <c r="L30" i="48"/>
  <c r="N29" i="48"/>
  <c r="L29" i="48"/>
  <c r="N28" i="48"/>
  <c r="L28" i="48"/>
  <c r="N27" i="48"/>
  <c r="L27" i="48"/>
  <c r="N26" i="48"/>
  <c r="L26" i="48"/>
  <c r="N25" i="48"/>
  <c r="L25" i="48"/>
  <c r="N24" i="48"/>
  <c r="L24" i="48"/>
  <c r="N23" i="48"/>
  <c r="L23" i="48"/>
  <c r="N22" i="48"/>
  <c r="L22" i="48"/>
  <c r="N21" i="48"/>
  <c r="L21" i="48"/>
  <c r="N20" i="48"/>
  <c r="L20" i="48"/>
  <c r="N19" i="48"/>
  <c r="L19" i="48"/>
  <c r="C17" i="48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K11" i="48"/>
  <c r="I11" i="48"/>
  <c r="P1" i="48"/>
  <c r="P83" i="48" s="1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O101" i="47"/>
  <c r="M101" i="47"/>
  <c r="O100" i="47"/>
  <c r="M100" i="47"/>
  <c r="O99" i="47"/>
  <c r="M99" i="47"/>
  <c r="J99" i="47"/>
  <c r="C99" i="47"/>
  <c r="C100" i="47" s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C127" i="47" s="1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D96" i="47"/>
  <c r="L93" i="47"/>
  <c r="J93" i="47"/>
  <c r="D90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L36" i="47"/>
  <c r="N35" i="47"/>
  <c r="L35" i="47"/>
  <c r="N34" i="47"/>
  <c r="L34" i="47"/>
  <c r="N33" i="47"/>
  <c r="L33" i="47"/>
  <c r="N32" i="47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L20" i="47"/>
  <c r="N19" i="47"/>
  <c r="L19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K11" i="47"/>
  <c r="I11" i="47"/>
  <c r="P1" i="47"/>
  <c r="P83" i="47" s="1"/>
  <c r="P99" i="47" l="1"/>
  <c r="O34" i="49"/>
  <c r="O36" i="49"/>
  <c r="O38" i="49"/>
  <c r="O42" i="49"/>
  <c r="O44" i="49"/>
  <c r="O46" i="49"/>
  <c r="O52" i="49"/>
  <c r="O60" i="49"/>
  <c r="O62" i="49"/>
  <c r="O64" i="49"/>
  <c r="O68" i="49"/>
  <c r="O70" i="49"/>
  <c r="O72" i="49"/>
  <c r="P109" i="49"/>
  <c r="P113" i="49"/>
  <c r="O23" i="49"/>
  <c r="O25" i="49"/>
  <c r="O27" i="49"/>
  <c r="O31" i="49"/>
  <c r="O39" i="49"/>
  <c r="O49" i="49"/>
  <c r="O59" i="49"/>
  <c r="O67" i="49"/>
  <c r="P130" i="47"/>
  <c r="P113" i="47"/>
  <c r="O23" i="47"/>
  <c r="O31" i="47"/>
  <c r="O33" i="47"/>
  <c r="O43" i="47"/>
  <c r="O45" i="47"/>
  <c r="O49" i="47"/>
  <c r="P120" i="47"/>
  <c r="P122" i="47"/>
  <c r="O38" i="48"/>
  <c r="O68" i="48"/>
  <c r="O20" i="49"/>
  <c r="O24" i="49"/>
  <c r="O18" i="49"/>
  <c r="O30" i="47"/>
  <c r="O38" i="47"/>
  <c r="O60" i="47"/>
  <c r="O47" i="49"/>
  <c r="P100" i="47"/>
  <c r="P102" i="47"/>
  <c r="P104" i="47"/>
  <c r="P106" i="47"/>
  <c r="P108" i="47"/>
  <c r="P110" i="47"/>
  <c r="P112" i="47"/>
  <c r="P115" i="47"/>
  <c r="P117" i="47"/>
  <c r="P101" i="47"/>
  <c r="P103" i="47"/>
  <c r="P105" i="47"/>
  <c r="P109" i="47"/>
  <c r="P111" i="47"/>
  <c r="O51" i="47"/>
  <c r="O55" i="47"/>
  <c r="O67" i="47"/>
  <c r="O71" i="47"/>
  <c r="O72" i="47"/>
  <c r="P107" i="47"/>
  <c r="P114" i="47"/>
  <c r="P116" i="47"/>
  <c r="O22" i="47"/>
  <c r="P118" i="47"/>
  <c r="O34" i="47"/>
  <c r="P119" i="47"/>
  <c r="O41" i="47"/>
  <c r="O50" i="47"/>
  <c r="O52" i="47"/>
  <c r="O54" i="47"/>
  <c r="O56" i="47"/>
  <c r="O62" i="47"/>
  <c r="O64" i="47"/>
  <c r="P123" i="47"/>
  <c r="O24" i="47"/>
  <c r="O32" i="47"/>
  <c r="O42" i="47"/>
  <c r="P121" i="47"/>
  <c r="O25" i="47"/>
  <c r="O53" i="47"/>
  <c r="O57" i="47"/>
  <c r="O65" i="47"/>
  <c r="O26" i="47"/>
  <c r="O44" i="47"/>
  <c r="O19" i="47"/>
  <c r="O21" i="47"/>
  <c r="O28" i="47"/>
  <c r="O35" i="47"/>
  <c r="O37" i="47"/>
  <c r="O39" i="47"/>
  <c r="O46" i="47"/>
  <c r="O48" i="47"/>
  <c r="O58" i="47"/>
  <c r="O20" i="47"/>
  <c r="O27" i="47"/>
  <c r="O29" i="47"/>
  <c r="O36" i="47"/>
  <c r="O40" i="47"/>
  <c r="O47" i="47"/>
  <c r="O59" i="47"/>
  <c r="O61" i="47"/>
  <c r="O66" i="47"/>
  <c r="O68" i="47"/>
  <c r="O63" i="47"/>
  <c r="O70" i="47"/>
  <c r="O69" i="47"/>
  <c r="O42" i="48"/>
  <c r="O44" i="48"/>
  <c r="O48" i="48"/>
  <c r="O58" i="48"/>
  <c r="O60" i="48"/>
  <c r="O66" i="48"/>
  <c r="O25" i="48"/>
  <c r="O41" i="48"/>
  <c r="O20" i="48"/>
  <c r="O32" i="48"/>
  <c r="O36" i="48"/>
  <c r="O47" i="48"/>
  <c r="O49" i="48"/>
  <c r="O53" i="48"/>
  <c r="O61" i="48"/>
  <c r="O52" i="48"/>
  <c r="O63" i="48"/>
  <c r="O65" i="48"/>
  <c r="O29" i="48"/>
  <c r="O34" i="48"/>
  <c r="O37" i="48"/>
  <c r="O45" i="48"/>
  <c r="O24" i="48"/>
  <c r="O31" i="48"/>
  <c r="O33" i="48"/>
  <c r="O26" i="48"/>
  <c r="O28" i="48"/>
  <c r="O56" i="48"/>
  <c r="O72" i="48"/>
  <c r="O21" i="48"/>
  <c r="O39" i="48"/>
  <c r="O23" i="48"/>
  <c r="O40" i="48"/>
  <c r="O50" i="48"/>
  <c r="O55" i="48"/>
  <c r="O57" i="48"/>
  <c r="O69" i="48"/>
  <c r="O64" i="48"/>
  <c r="O71" i="48"/>
  <c r="P102" i="48"/>
  <c r="P106" i="48"/>
  <c r="P112" i="48"/>
  <c r="P116" i="48"/>
  <c r="P120" i="48"/>
  <c r="P130" i="48"/>
  <c r="P100" i="48"/>
  <c r="P104" i="48"/>
  <c r="P108" i="48"/>
  <c r="P110" i="48"/>
  <c r="P114" i="48"/>
  <c r="P122" i="48"/>
  <c r="P126" i="48"/>
  <c r="P121" i="48"/>
  <c r="P129" i="48"/>
  <c r="P100" i="49"/>
  <c r="P118" i="49"/>
  <c r="P122" i="49"/>
  <c r="P124" i="49"/>
  <c r="P126" i="49"/>
  <c r="P128" i="49"/>
  <c r="P130" i="49"/>
  <c r="P115" i="49"/>
  <c r="P117" i="49"/>
  <c r="P104" i="49"/>
  <c r="P107" i="49"/>
  <c r="D18" i="49"/>
  <c r="O33" i="49"/>
  <c r="O35" i="49"/>
  <c r="O50" i="49"/>
  <c r="O63" i="49"/>
  <c r="O22" i="49"/>
  <c r="O26" i="49"/>
  <c r="O28" i="49"/>
  <c r="O30" i="49"/>
  <c r="O41" i="49"/>
  <c r="O43" i="49"/>
  <c r="O56" i="49"/>
  <c r="O71" i="49"/>
  <c r="O66" i="49"/>
  <c r="P112" i="49"/>
  <c r="O29" i="49"/>
  <c r="O32" i="49"/>
  <c r="O37" i="49"/>
  <c r="O40" i="49"/>
  <c r="O45" i="49"/>
  <c r="O48" i="49"/>
  <c r="O53" i="49"/>
  <c r="O55" i="49"/>
  <c r="P105" i="49"/>
  <c r="P114" i="49"/>
  <c r="P116" i="49"/>
  <c r="O51" i="49"/>
  <c r="O58" i="49"/>
  <c r="O61" i="49"/>
  <c r="O69" i="49"/>
  <c r="P110" i="49"/>
  <c r="O19" i="49"/>
  <c r="O21" i="49"/>
  <c r="P108" i="49"/>
  <c r="P111" i="49"/>
  <c r="P101" i="49"/>
  <c r="P103" i="49"/>
  <c r="P121" i="49"/>
  <c r="P125" i="49"/>
  <c r="P127" i="49"/>
  <c r="P129" i="49"/>
  <c r="J96" i="49"/>
  <c r="C45" i="49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P106" i="49"/>
  <c r="O54" i="49"/>
  <c r="O57" i="49"/>
  <c r="O65" i="49"/>
  <c r="P102" i="49"/>
  <c r="P119" i="49"/>
  <c r="P123" i="49"/>
  <c r="P120" i="49"/>
  <c r="C45" i="48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O19" i="48"/>
  <c r="O22" i="48"/>
  <c r="O27" i="48"/>
  <c r="O30" i="48"/>
  <c r="O35" i="48"/>
  <c r="O43" i="48"/>
  <c r="O46" i="48"/>
  <c r="O51" i="48"/>
  <c r="O54" i="48"/>
  <c r="O59" i="48"/>
  <c r="O62" i="48"/>
  <c r="O67" i="48"/>
  <c r="O70" i="48"/>
  <c r="P101" i="48"/>
  <c r="P103" i="48"/>
  <c r="P105" i="48"/>
  <c r="P107" i="48"/>
  <c r="P109" i="48"/>
  <c r="P111" i="48"/>
  <c r="P113" i="48"/>
  <c r="P115" i="48"/>
  <c r="P117" i="48"/>
  <c r="P125" i="48"/>
  <c r="P118" i="48"/>
  <c r="P124" i="48"/>
  <c r="P128" i="48"/>
  <c r="P119" i="48"/>
  <c r="P123" i="48"/>
  <c r="P127" i="48"/>
  <c r="P125" i="47"/>
  <c r="P127" i="47"/>
  <c r="P129" i="47"/>
  <c r="P124" i="47"/>
  <c r="P126" i="47"/>
  <c r="P128" i="47"/>
  <c r="N99" i="46"/>
  <c r="L99" i="46"/>
  <c r="M99" i="46" s="1"/>
  <c r="M18" i="46"/>
  <c r="K18" i="46"/>
  <c r="L18" i="46" s="1"/>
  <c r="N100" i="45"/>
  <c r="L100" i="45"/>
  <c r="M100" i="45" s="1"/>
  <c r="N99" i="45"/>
  <c r="L99" i="45"/>
  <c r="M99" i="45" s="1"/>
  <c r="M19" i="45"/>
  <c r="K19" i="45"/>
  <c r="L19" i="45" s="1"/>
  <c r="N100" i="44"/>
  <c r="L100" i="44"/>
  <c r="M100" i="44" s="1"/>
  <c r="N99" i="44"/>
  <c r="L99" i="44"/>
  <c r="M99" i="44" s="1"/>
  <c r="M19" i="44"/>
  <c r="K19" i="44"/>
  <c r="L19" i="44" s="1"/>
  <c r="N101" i="43"/>
  <c r="L101" i="43"/>
  <c r="M101" i="43" s="1"/>
  <c r="N100" i="43"/>
  <c r="L100" i="43"/>
  <c r="M100" i="43" s="1"/>
  <c r="M20" i="43"/>
  <c r="K20" i="43"/>
  <c r="L20" i="43" s="1"/>
  <c r="N101" i="42"/>
  <c r="L101" i="42"/>
  <c r="M101" i="42" s="1"/>
  <c r="N100" i="42"/>
  <c r="M100" i="42"/>
  <c r="L100" i="42"/>
  <c r="M20" i="42"/>
  <c r="K20" i="42"/>
  <c r="L20" i="42" s="1"/>
  <c r="N101" i="41"/>
  <c r="L101" i="41"/>
  <c r="M101" i="41" s="1"/>
  <c r="N100" i="41"/>
  <c r="L100" i="41"/>
  <c r="M100" i="41" s="1"/>
  <c r="M20" i="41"/>
  <c r="K20" i="41"/>
  <c r="L20" i="41" s="1"/>
  <c r="N101" i="40"/>
  <c r="L101" i="40"/>
  <c r="M101" i="40" s="1"/>
  <c r="N100" i="40"/>
  <c r="L100" i="40"/>
  <c r="M100" i="40" s="1"/>
  <c r="M20" i="40"/>
  <c r="K20" i="40"/>
  <c r="L20" i="40" s="1"/>
  <c r="N102" i="39"/>
  <c r="L102" i="39"/>
  <c r="M102" i="39" s="1"/>
  <c r="N101" i="39"/>
  <c r="L101" i="39"/>
  <c r="M101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N101" i="37"/>
  <c r="L101" i="37"/>
  <c r="M101" i="37" s="1"/>
  <c r="M21" i="37"/>
  <c r="K21" i="37"/>
  <c r="L21" i="37" s="1"/>
  <c r="N105" i="31"/>
  <c r="L105" i="31"/>
  <c r="M105" i="31" s="1"/>
  <c r="N104" i="31"/>
  <c r="L104" i="31"/>
  <c r="M104" i="31" s="1"/>
  <c r="M24" i="31"/>
  <c r="K24" i="31"/>
  <c r="L24" i="31" s="1"/>
  <c r="N104" i="30"/>
  <c r="L104" i="30"/>
  <c r="M104" i="30" s="1"/>
  <c r="N103" i="30"/>
  <c r="L103" i="30"/>
  <c r="M103" i="30" s="1"/>
  <c r="M23" i="30"/>
  <c r="K23" i="30"/>
  <c r="L23" i="30" s="1"/>
  <c r="N105" i="29"/>
  <c r="L105" i="29"/>
  <c r="M105" i="29" s="1"/>
  <c r="N104" i="29"/>
  <c r="L104" i="29"/>
  <c r="M104" i="29" s="1"/>
  <c r="M24" i="29"/>
  <c r="K24" i="29"/>
  <c r="L24" i="29" s="1"/>
  <c r="N105" i="28"/>
  <c r="L105" i="28"/>
  <c r="M105" i="28" s="1"/>
  <c r="N104" i="28"/>
  <c r="L104" i="28"/>
  <c r="M104" i="28" s="1"/>
  <c r="M24" i="28"/>
  <c r="K24" i="28"/>
  <c r="L24" i="28" s="1"/>
  <c r="N106" i="27"/>
  <c r="L106" i="27"/>
  <c r="M106" i="27" s="1"/>
  <c r="N105" i="27"/>
  <c r="L105" i="27"/>
  <c r="M105" i="27" s="1"/>
  <c r="M25" i="27"/>
  <c r="K25" i="27"/>
  <c r="L25" i="27" s="1"/>
  <c r="N112" i="11"/>
  <c r="L112" i="11"/>
  <c r="M112" i="11" s="1"/>
  <c r="N111" i="11"/>
  <c r="L111" i="11"/>
  <c r="M111" i="11" s="1"/>
  <c r="M31" i="11"/>
  <c r="K31" i="11"/>
  <c r="L31" i="11" s="1"/>
  <c r="B18" i="49" l="1"/>
  <c r="J96" i="48"/>
  <c r="N18" i="47" l="1"/>
  <c r="O18" i="47" l="1"/>
  <c r="N18" i="48"/>
  <c r="O18" i="48" l="1"/>
  <c r="N113" i="10" l="1"/>
  <c r="L113" i="10"/>
  <c r="M113" i="10" s="1"/>
  <c r="N112" i="10"/>
  <c r="L112" i="10"/>
  <c r="M112" i="10" s="1"/>
  <c r="M32" i="10"/>
  <c r="K32" i="10"/>
  <c r="L32" i="10" s="1"/>
  <c r="N112" i="9"/>
  <c r="L112" i="9"/>
  <c r="M112" i="9" s="1"/>
  <c r="N111" i="9"/>
  <c r="L111" i="9"/>
  <c r="M111" i="9" s="1"/>
  <c r="M31" i="9"/>
  <c r="K31" i="9"/>
  <c r="L31" i="9" s="1"/>
  <c r="N111" i="8"/>
  <c r="L111" i="8"/>
  <c r="M111" i="8" s="1"/>
  <c r="N110" i="8"/>
  <c r="L110" i="8"/>
  <c r="M110" i="8" s="1"/>
  <c r="M30" i="8"/>
  <c r="K30" i="8"/>
  <c r="L30" i="8" s="1"/>
  <c r="N113" i="7"/>
  <c r="L113" i="7"/>
  <c r="M113" i="7" s="1"/>
  <c r="N112" i="7"/>
  <c r="L112" i="7"/>
  <c r="M112" i="7" s="1"/>
  <c r="M32" i="7"/>
  <c r="K32" i="7"/>
  <c r="L32" i="7" s="1"/>
  <c r="N111" i="6"/>
  <c r="L111" i="6"/>
  <c r="M111" i="6" s="1"/>
  <c r="N110" i="6"/>
  <c r="L110" i="6"/>
  <c r="M110" i="6" s="1"/>
  <c r="M30" i="6"/>
  <c r="K30" i="6"/>
  <c r="L30" i="6" s="1"/>
  <c r="N110" i="5"/>
  <c r="L110" i="5"/>
  <c r="M110" i="5" s="1"/>
  <c r="N109" i="5"/>
  <c r="L109" i="5"/>
  <c r="M109" i="5" s="1"/>
  <c r="M29" i="5"/>
  <c r="K29" i="5"/>
  <c r="L29" i="5" s="1"/>
  <c r="N110" i="4"/>
  <c r="L110" i="4"/>
  <c r="M110" i="4" s="1"/>
  <c r="N109" i="4"/>
  <c r="L109" i="4"/>
  <c r="M109" i="4" s="1"/>
  <c r="M29" i="4"/>
  <c r="K29" i="4"/>
  <c r="L29" i="4" s="1"/>
  <c r="N110" i="3"/>
  <c r="L110" i="3"/>
  <c r="M110" i="3" s="1"/>
  <c r="N109" i="3"/>
  <c r="L109" i="3"/>
  <c r="M109" i="3" s="1"/>
  <c r="M29" i="3"/>
  <c r="K29" i="3"/>
  <c r="L29" i="3" s="1"/>
  <c r="P45" i="17" l="1"/>
  <c r="I17" i="44"/>
  <c r="I18" i="44"/>
  <c r="M17" i="46" l="1"/>
  <c r="K17" i="46"/>
  <c r="L17" i="46" s="1"/>
  <c r="M23" i="31"/>
  <c r="K23" i="31"/>
  <c r="L23" i="31" s="1"/>
  <c r="M22" i="30"/>
  <c r="K22" i="30"/>
  <c r="L22" i="30" s="1"/>
  <c r="M18" i="44" l="1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28" i="5"/>
  <c r="K28" i="5"/>
  <c r="L28" i="5" s="1"/>
  <c r="M28" i="4"/>
  <c r="K28" i="4"/>
  <c r="L28" i="4" s="1"/>
  <c r="M28" i="3"/>
  <c r="K28" i="3"/>
  <c r="L28" i="3" s="1"/>
  <c r="E13" i="17"/>
  <c r="H3" i="17"/>
  <c r="W43" i="17" l="1"/>
  <c r="N51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L99" i="43"/>
  <c r="M99" i="43" s="1"/>
  <c r="N99" i="42"/>
  <c r="O99" i="42" s="1"/>
  <c r="L99" i="42"/>
  <c r="M99" i="42" s="1"/>
  <c r="N99" i="41"/>
  <c r="O99" i="41" s="1"/>
  <c r="L99" i="41"/>
  <c r="M99" i="41" s="1"/>
  <c r="N99" i="40"/>
  <c r="O99" i="40" s="1"/>
  <c r="L99" i="40"/>
  <c r="M99" i="40" s="1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N102" i="30"/>
  <c r="O102" i="30" s="1"/>
  <c r="L102" i="30"/>
  <c r="M102" i="30" s="1"/>
  <c r="N103" i="29"/>
  <c r="O103" i="29" s="1"/>
  <c r="L103" i="29"/>
  <c r="M103" i="29" s="1"/>
  <c r="N103" i="28"/>
  <c r="O103" i="28" s="1"/>
  <c r="L103" i="28"/>
  <c r="M103" i="28" s="1"/>
  <c r="N104" i="27"/>
  <c r="O104" i="27" s="1"/>
  <c r="M104" i="27"/>
  <c r="L104" i="27"/>
  <c r="N107" i="25"/>
  <c r="O107" i="25" s="1"/>
  <c r="L107" i="25"/>
  <c r="M107" i="25" s="1"/>
  <c r="N105" i="24"/>
  <c r="O105" i="24" s="1"/>
  <c r="L105" i="24"/>
  <c r="M105" i="24" s="1"/>
  <c r="N106" i="23"/>
  <c r="O106" i="23" s="1"/>
  <c r="L106" i="23"/>
  <c r="M106" i="23" s="1"/>
  <c r="N107" i="22"/>
  <c r="O107" i="22" s="1"/>
  <c r="L107" i="22"/>
  <c r="M107" i="22" s="1"/>
  <c r="N110" i="11"/>
  <c r="O110" i="11" s="1"/>
  <c r="L110" i="11"/>
  <c r="M110" i="11" s="1"/>
  <c r="N111" i="10"/>
  <c r="O111" i="10" s="1"/>
  <c r="L111" i="10"/>
  <c r="M111" i="10" s="1"/>
  <c r="N110" i="9"/>
  <c r="O110" i="9" s="1"/>
  <c r="L110" i="9"/>
  <c r="M110" i="9" s="1"/>
  <c r="N109" i="8"/>
  <c r="O109" i="8" s="1"/>
  <c r="L109" i="8"/>
  <c r="M109" i="8" s="1"/>
  <c r="N111" i="7"/>
  <c r="O111" i="7" s="1"/>
  <c r="L111" i="7"/>
  <c r="M111" i="7" s="1"/>
  <c r="N109" i="6"/>
  <c r="O109" i="6" s="1"/>
  <c r="L109" i="6"/>
  <c r="M109" i="6" s="1"/>
  <c r="N108" i="5"/>
  <c r="O108" i="5" s="1"/>
  <c r="M108" i="5"/>
  <c r="L108" i="5"/>
  <c r="N108" i="4"/>
  <c r="O108" i="4" s="1"/>
  <c r="L108" i="4"/>
  <c r="M108" i="4" s="1"/>
  <c r="N108" i="3"/>
  <c r="O108" i="3" s="1"/>
  <c r="L108" i="3"/>
  <c r="M108" i="3" s="1"/>
  <c r="O51" i="17"/>
  <c r="P44" i="17"/>
  <c r="P43" i="17"/>
  <c r="P106" i="23" l="1"/>
  <c r="P103" i="28"/>
  <c r="P99" i="42"/>
  <c r="P103" i="31"/>
  <c r="P99" i="41"/>
  <c r="P109" i="6"/>
  <c r="P100" i="37"/>
  <c r="P108" i="5"/>
  <c r="P107" i="22"/>
  <c r="P104" i="27"/>
  <c r="P108" i="4"/>
  <c r="P109" i="8"/>
  <c r="P110" i="11"/>
  <c r="P107" i="25"/>
  <c r="P99" i="40"/>
  <c r="P108" i="3"/>
  <c r="P111" i="7"/>
  <c r="P111" i="10"/>
  <c r="P105" i="24"/>
  <c r="P103" i="29"/>
  <c r="P100" i="39"/>
  <c r="P99" i="43"/>
  <c r="P110" i="9"/>
  <c r="P102" i="30"/>
  <c r="J51" i="17" l="1"/>
  <c r="G95" i="17" l="1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M17" i="43"/>
  <c r="K17" i="43"/>
  <c r="E36" i="1"/>
  <c r="E35" i="1"/>
  <c r="C36" i="1"/>
  <c r="C35" i="1"/>
  <c r="L19" i="1"/>
  <c r="I58" i="17"/>
  <c r="G97" i="17" l="1"/>
  <c r="I10" i="48"/>
  <c r="I10" i="49"/>
  <c r="I10" i="47"/>
  <c r="I10" i="27"/>
  <c r="A4" i="1"/>
  <c r="A2" i="1"/>
  <c r="F97" i="17"/>
  <c r="E97" i="17"/>
  <c r="D100" i="47" l="1"/>
  <c r="B100" i="47" s="1"/>
  <c r="E99" i="49"/>
  <c r="F99" i="49" s="1"/>
  <c r="P42" i="17"/>
  <c r="D100" i="48" l="1"/>
  <c r="B100" i="48" s="1"/>
  <c r="G99" i="49"/>
  <c r="D100" i="49"/>
  <c r="E100" i="49" s="1"/>
  <c r="E36" i="2"/>
  <c r="E35" i="2"/>
  <c r="C36" i="2"/>
  <c r="C35" i="2"/>
  <c r="C34" i="2"/>
  <c r="E100" i="48" l="1"/>
  <c r="F100" i="48" s="1"/>
  <c r="D101" i="48" s="1"/>
  <c r="B100" i="49"/>
  <c r="F100" i="49"/>
  <c r="W42" i="17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N19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O99" i="44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O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N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K17" i="40"/>
  <c r="L17" i="40" s="1"/>
  <c r="N99" i="39"/>
  <c r="L99" i="39"/>
  <c r="M18" i="39"/>
  <c r="K18" i="39"/>
  <c r="L18" i="39" s="1"/>
  <c r="N99" i="38"/>
  <c r="O99" i="38" s="1"/>
  <c r="P99" i="38" s="1"/>
  <c r="L99" i="38"/>
  <c r="M18" i="38"/>
  <c r="N18" i="38" s="1"/>
  <c r="K18" i="38"/>
  <c r="L18" i="38" s="1"/>
  <c r="N99" i="37"/>
  <c r="O99" i="37" s="1"/>
  <c r="P99" i="37" s="1"/>
  <c r="L99" i="37"/>
  <c r="M18" i="37"/>
  <c r="N18" i="37" s="1"/>
  <c r="K18" i="37"/>
  <c r="L18" i="37" s="1"/>
  <c r="N102" i="31"/>
  <c r="O102" i="31" s="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L102" i="29"/>
  <c r="M102" i="29" s="1"/>
  <c r="M21" i="29"/>
  <c r="N21" i="29" s="1"/>
  <c r="K21" i="29"/>
  <c r="L21" i="29" s="1"/>
  <c r="N102" i="28"/>
  <c r="O102" i="28" s="1"/>
  <c r="P102" i="28" s="1"/>
  <c r="L102" i="28"/>
  <c r="M102" i="28" s="1"/>
  <c r="M21" i="28"/>
  <c r="N21" i="28" s="1"/>
  <c r="K21" i="28"/>
  <c r="L21" i="28" s="1"/>
  <c r="N103" i="27"/>
  <c r="O103" i="27" s="1"/>
  <c r="P103" i="27" s="1"/>
  <c r="L103" i="27"/>
  <c r="M103" i="27" s="1"/>
  <c r="M22" i="27"/>
  <c r="N22" i="27" s="1"/>
  <c r="K22" i="27"/>
  <c r="L22" i="27" s="1"/>
  <c r="N106" i="25"/>
  <c r="O106" i="25" s="1"/>
  <c r="L106" i="25"/>
  <c r="M106" i="25" s="1"/>
  <c r="M25" i="25"/>
  <c r="N25" i="25" s="1"/>
  <c r="K25" i="25"/>
  <c r="L25" i="25" s="1"/>
  <c r="N104" i="24"/>
  <c r="O104" i="24" s="1"/>
  <c r="L104" i="24"/>
  <c r="M104" i="24" s="1"/>
  <c r="M23" i="24"/>
  <c r="N23" i="24" s="1"/>
  <c r="K23" i="24"/>
  <c r="L23" i="24" s="1"/>
  <c r="N105" i="23"/>
  <c r="O105" i="23"/>
  <c r="L105" i="23"/>
  <c r="M105" i="23" s="1"/>
  <c r="M24" i="23"/>
  <c r="N24" i="23" s="1"/>
  <c r="K24" i="23"/>
  <c r="L24" i="23" s="1"/>
  <c r="N106" i="22"/>
  <c r="O106" i="22"/>
  <c r="L106" i="22"/>
  <c r="M106" i="22" s="1"/>
  <c r="M25" i="22"/>
  <c r="N25" i="22" s="1"/>
  <c r="K25" i="22"/>
  <c r="L25" i="22" s="1"/>
  <c r="N109" i="11"/>
  <c r="O109" i="11"/>
  <c r="L109" i="11"/>
  <c r="M109" i="11" s="1"/>
  <c r="M28" i="11"/>
  <c r="N28" i="11" s="1"/>
  <c r="K28" i="11"/>
  <c r="L28" i="11" s="1"/>
  <c r="N110" i="10"/>
  <c r="O110" i="10" s="1"/>
  <c r="L110" i="10"/>
  <c r="M110" i="10" s="1"/>
  <c r="M29" i="10"/>
  <c r="N29" i="10" s="1"/>
  <c r="K29" i="10"/>
  <c r="L29" i="10" s="1"/>
  <c r="N109" i="9"/>
  <c r="O109" i="9" s="1"/>
  <c r="L109" i="9"/>
  <c r="M109" i="9" s="1"/>
  <c r="M28" i="9"/>
  <c r="N28" i="9" s="1"/>
  <c r="K28" i="9"/>
  <c r="L28" i="9" s="1"/>
  <c r="N108" i="8"/>
  <c r="O108" i="8"/>
  <c r="L108" i="8"/>
  <c r="M108" i="8" s="1"/>
  <c r="M27" i="8"/>
  <c r="N27" i="8" s="1"/>
  <c r="K27" i="8"/>
  <c r="L27" i="8" s="1"/>
  <c r="N110" i="7"/>
  <c r="O110" i="7"/>
  <c r="L110" i="7"/>
  <c r="M110" i="7" s="1"/>
  <c r="M29" i="7"/>
  <c r="N29" i="7" s="1"/>
  <c r="K29" i="7"/>
  <c r="L29" i="7" s="1"/>
  <c r="N108" i="6"/>
  <c r="O108" i="6" s="1"/>
  <c r="L108" i="6"/>
  <c r="M108" i="6" s="1"/>
  <c r="M27" i="6"/>
  <c r="N27" i="6" s="1"/>
  <c r="K27" i="6"/>
  <c r="L27" i="6" s="1"/>
  <c r="N107" i="5"/>
  <c r="O107" i="5" s="1"/>
  <c r="L107" i="5"/>
  <c r="M107" i="5" s="1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L107" i="3"/>
  <c r="M107" i="3" s="1"/>
  <c r="M26" i="3"/>
  <c r="N26" i="3" s="1"/>
  <c r="K26" i="3"/>
  <c r="L26" i="3" s="1"/>
  <c r="D92" i="6"/>
  <c r="T14" i="17"/>
  <c r="M26" i="6"/>
  <c r="N26" i="6" s="1"/>
  <c r="K26" i="6"/>
  <c r="L26" i="6" s="1"/>
  <c r="O26" i="6" s="1"/>
  <c r="M17" i="38"/>
  <c r="K17" i="38"/>
  <c r="L17" i="38" s="1"/>
  <c r="M17" i="39"/>
  <c r="K17" i="39"/>
  <c r="N101" i="31"/>
  <c r="O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K19" i="30"/>
  <c r="L19" i="30" s="1"/>
  <c r="N100" i="30"/>
  <c r="O100" i="30" s="1"/>
  <c r="L100" i="30"/>
  <c r="M100" i="30" s="1"/>
  <c r="M20" i="29"/>
  <c r="N20" i="29" s="1"/>
  <c r="O20" i="29" s="1"/>
  <c r="K20" i="29"/>
  <c r="L20" i="29" s="1"/>
  <c r="N101" i="29"/>
  <c r="O101" i="29"/>
  <c r="L101" i="29"/>
  <c r="M101" i="29" s="1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K21" i="27"/>
  <c r="L21" i="27"/>
  <c r="N105" i="25"/>
  <c r="O105" i="25"/>
  <c r="L105" i="25"/>
  <c r="M105" i="25" s="1"/>
  <c r="M24" i="25"/>
  <c r="N24" i="25" s="1"/>
  <c r="K24" i="25"/>
  <c r="L24" i="25" s="1"/>
  <c r="N103" i="24"/>
  <c r="O103" i="24" s="1"/>
  <c r="L103" i="24"/>
  <c r="M103" i="24" s="1"/>
  <c r="M22" i="24"/>
  <c r="N22" i="24" s="1"/>
  <c r="K22" i="24"/>
  <c r="L22" i="24" s="1"/>
  <c r="N104" i="23"/>
  <c r="O104" i="23"/>
  <c r="L104" i="23"/>
  <c r="M104" i="23" s="1"/>
  <c r="M23" i="23"/>
  <c r="N23" i="23" s="1"/>
  <c r="K23" i="23"/>
  <c r="L23" i="23" s="1"/>
  <c r="N105" i="22"/>
  <c r="O105" i="22" s="1"/>
  <c r="L105" i="22"/>
  <c r="M105" i="22" s="1"/>
  <c r="P105" i="22" s="1"/>
  <c r="M24" i="22"/>
  <c r="N24" i="22" s="1"/>
  <c r="K24" i="22"/>
  <c r="L24" i="22" s="1"/>
  <c r="N108" i="11"/>
  <c r="O108" i="11"/>
  <c r="L108" i="11"/>
  <c r="M108" i="11" s="1"/>
  <c r="P108" i="11" s="1"/>
  <c r="M27" i="11"/>
  <c r="N27" i="11" s="1"/>
  <c r="O27" i="11" s="1"/>
  <c r="K27" i="11"/>
  <c r="L27" i="11" s="1"/>
  <c r="N109" i="10"/>
  <c r="O109" i="10"/>
  <c r="L109" i="10"/>
  <c r="M109" i="10" s="1"/>
  <c r="M28" i="10"/>
  <c r="N28" i="10"/>
  <c r="K28" i="10"/>
  <c r="L28" i="10" s="1"/>
  <c r="O28" i="10" s="1"/>
  <c r="N108" i="9"/>
  <c r="O108" i="9"/>
  <c r="L108" i="9"/>
  <c r="M108" i="9"/>
  <c r="M27" i="9"/>
  <c r="N27" i="9" s="1"/>
  <c r="K27" i="9"/>
  <c r="L27" i="9" s="1"/>
  <c r="N107" i="8"/>
  <c r="O107" i="8" s="1"/>
  <c r="L107" i="8"/>
  <c r="M107" i="8" s="1"/>
  <c r="M26" i="8"/>
  <c r="N26" i="8" s="1"/>
  <c r="K26" i="8"/>
  <c r="L26" i="8" s="1"/>
  <c r="N109" i="7"/>
  <c r="O109" i="7" s="1"/>
  <c r="L109" i="7"/>
  <c r="M109" i="7" s="1"/>
  <c r="M28" i="7"/>
  <c r="N28" i="7" s="1"/>
  <c r="K28" i="7"/>
  <c r="L28" i="7" s="1"/>
  <c r="N107" i="6"/>
  <c r="O107" i="6" s="1"/>
  <c r="L107" i="6"/>
  <c r="M107" i="6" s="1"/>
  <c r="N106" i="5"/>
  <c r="O106" i="5" s="1"/>
  <c r="L106" i="5"/>
  <c r="M106" i="5" s="1"/>
  <c r="M25" i="5"/>
  <c r="N25" i="5" s="1"/>
  <c r="K25" i="5"/>
  <c r="L25" i="5" s="1"/>
  <c r="N106" i="4"/>
  <c r="O106" i="4"/>
  <c r="L106" i="4"/>
  <c r="M106" i="4" s="1"/>
  <c r="P106" i="4" s="1"/>
  <c r="M25" i="4"/>
  <c r="N25" i="4" s="1"/>
  <c r="K25" i="4"/>
  <c r="L25" i="4" s="1"/>
  <c r="N106" i="3"/>
  <c r="O106" i="3" s="1"/>
  <c r="L106" i="3"/>
  <c r="M106" i="3" s="1"/>
  <c r="M25" i="3"/>
  <c r="N25" i="3" s="1"/>
  <c r="K25" i="3"/>
  <c r="L25" i="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O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N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O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N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N100" i="31"/>
  <c r="O100" i="31"/>
  <c r="L100" i="31"/>
  <c r="M100" i="31" s="1"/>
  <c r="M19" i="31"/>
  <c r="N19" i="31" s="1"/>
  <c r="K19" i="31"/>
  <c r="L19" i="31"/>
  <c r="N99" i="30"/>
  <c r="L99" i="30"/>
  <c r="M99" i="30" s="1"/>
  <c r="M18" i="30"/>
  <c r="N18" i="30" s="1"/>
  <c r="K18" i="30"/>
  <c r="L18" i="30" s="1"/>
  <c r="N100" i="29"/>
  <c r="O100" i="29" s="1"/>
  <c r="L100" i="29"/>
  <c r="M100" i="29" s="1"/>
  <c r="M19" i="29"/>
  <c r="N19" i="29" s="1"/>
  <c r="K19" i="29"/>
  <c r="L19" i="29" s="1"/>
  <c r="N100" i="28"/>
  <c r="O100" i="28" s="1"/>
  <c r="L100" i="28"/>
  <c r="M100" i="28" s="1"/>
  <c r="M19" i="28"/>
  <c r="N19" i="28" s="1"/>
  <c r="K19" i="28"/>
  <c r="L19" i="28" s="1"/>
  <c r="N101" i="27"/>
  <c r="O101" i="27" s="1"/>
  <c r="L101" i="27"/>
  <c r="M101" i="27" s="1"/>
  <c r="M20" i="27"/>
  <c r="N20" i="27"/>
  <c r="K20" i="27"/>
  <c r="L20" i="27" s="1"/>
  <c r="N104" i="25"/>
  <c r="O104" i="25" s="1"/>
  <c r="L104" i="25"/>
  <c r="M104" i="25" s="1"/>
  <c r="M23" i="25"/>
  <c r="N23" i="25" s="1"/>
  <c r="K23" i="25"/>
  <c r="L23" i="25" s="1"/>
  <c r="N102" i="24"/>
  <c r="O102" i="24" s="1"/>
  <c r="P102" i="24" s="1"/>
  <c r="L102" i="24"/>
  <c r="M102" i="24"/>
  <c r="M21" i="24"/>
  <c r="N21" i="24" s="1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 s="1"/>
  <c r="L104" i="22"/>
  <c r="M104" i="22" s="1"/>
  <c r="M23" i="22"/>
  <c r="N23" i="22" s="1"/>
  <c r="K23" i="22"/>
  <c r="L23" i="22" s="1"/>
  <c r="N107" i="11"/>
  <c r="O107" i="11" s="1"/>
  <c r="L107" i="11"/>
  <c r="M107" i="11" s="1"/>
  <c r="M26" i="11"/>
  <c r="N26" i="11" s="1"/>
  <c r="K26" i="11"/>
  <c r="L26" i="11" s="1"/>
  <c r="N108" i="10"/>
  <c r="O108" i="10"/>
  <c r="L108" i="10"/>
  <c r="M108" i="10" s="1"/>
  <c r="M27" i="10"/>
  <c r="N27" i="10" s="1"/>
  <c r="K27" i="10"/>
  <c r="L27" i="10"/>
  <c r="N107" i="9"/>
  <c r="O107" i="9" s="1"/>
  <c r="L107" i="9"/>
  <c r="M107" i="9" s="1"/>
  <c r="M26" i="9"/>
  <c r="N26" i="9" s="1"/>
  <c r="K26" i="9"/>
  <c r="L26" i="9" s="1"/>
  <c r="N106" i="8"/>
  <c r="O106" i="8" s="1"/>
  <c r="P106" i="8" s="1"/>
  <c r="L106" i="8"/>
  <c r="M106" i="8" s="1"/>
  <c r="M25" i="8"/>
  <c r="N25" i="8" s="1"/>
  <c r="K25" i="8"/>
  <c r="L25" i="8" s="1"/>
  <c r="N108" i="7"/>
  <c r="O108" i="7" s="1"/>
  <c r="L108" i="7"/>
  <c r="M108" i="7"/>
  <c r="M27" i="7"/>
  <c r="N27" i="7" s="1"/>
  <c r="O27" i="7" s="1"/>
  <c r="K27" i="7"/>
  <c r="L27" i="7"/>
  <c r="M25" i="6"/>
  <c r="N25" i="6" s="1"/>
  <c r="K25" i="6"/>
  <c r="L25" i="6" s="1"/>
  <c r="N106" i="6"/>
  <c r="O106" i="6" s="1"/>
  <c r="L106" i="6"/>
  <c r="M106" i="6" s="1"/>
  <c r="N105" i="5"/>
  <c r="O105" i="5"/>
  <c r="L105" i="5"/>
  <c r="M105" i="5" s="1"/>
  <c r="M24" i="5"/>
  <c r="N24" i="5" s="1"/>
  <c r="K24" i="5"/>
  <c r="L24" i="5"/>
  <c r="N105" i="4"/>
  <c r="O105" i="4" s="1"/>
  <c r="L105" i="4"/>
  <c r="M105" i="4" s="1"/>
  <c r="M24" i="4"/>
  <c r="N24" i="4" s="1"/>
  <c r="K24" i="4"/>
  <c r="L24" i="4" s="1"/>
  <c r="M24" i="3"/>
  <c r="N24" i="3" s="1"/>
  <c r="K24" i="3"/>
  <c r="L24" i="3" s="1"/>
  <c r="N105" i="3"/>
  <c r="O105" i="3"/>
  <c r="L105" i="3"/>
  <c r="M105" i="3" s="1"/>
  <c r="P39" i="17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 s="1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O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N21" i="39"/>
  <c r="N20" i="39"/>
  <c r="N19" i="39"/>
  <c r="N18" i="39"/>
  <c r="N17" i="39"/>
  <c r="O17" i="39" s="1"/>
  <c r="L17" i="39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N21" i="38"/>
  <c r="N20" i="38"/>
  <c r="N19" i="38"/>
  <c r="N17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O101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N21" i="37"/>
  <c r="N20" i="37"/>
  <c r="N19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51" i="17"/>
  <c r="M51" i="17"/>
  <c r="N99" i="31"/>
  <c r="O99" i="31" s="1"/>
  <c r="L99" i="31"/>
  <c r="M99" i="31" s="1"/>
  <c r="D96" i="31"/>
  <c r="M18" i="31"/>
  <c r="N18" i="31"/>
  <c r="K18" i="31"/>
  <c r="L18" i="31" s="1"/>
  <c r="O18" i="31" s="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 s="1"/>
  <c r="N99" i="28"/>
  <c r="O99" i="28"/>
  <c r="L99" i="28"/>
  <c r="M99" i="28" s="1"/>
  <c r="M18" i="28"/>
  <c r="N18" i="28" s="1"/>
  <c r="K18" i="28"/>
  <c r="L18" i="28"/>
  <c r="O18" i="28" s="1"/>
  <c r="N103" i="25"/>
  <c r="O103" i="25" s="1"/>
  <c r="L103" i="25"/>
  <c r="M103" i="25" s="1"/>
  <c r="M22" i="25"/>
  <c r="N22" i="25" s="1"/>
  <c r="K22" i="25"/>
  <c r="L22" i="25" s="1"/>
  <c r="O22" i="25" s="1"/>
  <c r="N101" i="24"/>
  <c r="O101" i="24" s="1"/>
  <c r="L101" i="24"/>
  <c r="M101" i="24" s="1"/>
  <c r="M20" i="24"/>
  <c r="N20" i="24" s="1"/>
  <c r="K20" i="24"/>
  <c r="L20" i="24" s="1"/>
  <c r="M21" i="23"/>
  <c r="N21" i="23" s="1"/>
  <c r="O21" i="23" s="1"/>
  <c r="K21" i="23"/>
  <c r="L21" i="23" s="1"/>
  <c r="N102" i="23"/>
  <c r="O102" i="23"/>
  <c r="L102" i="23"/>
  <c r="M102" i="23" s="1"/>
  <c r="N103" i="22"/>
  <c r="O103" i="22"/>
  <c r="L103" i="22"/>
  <c r="M103" i="22" s="1"/>
  <c r="M22" i="22"/>
  <c r="N22" i="22" s="1"/>
  <c r="O22" i="22" s="1"/>
  <c r="K22" i="22"/>
  <c r="L22" i="22" s="1"/>
  <c r="N106" i="11"/>
  <c r="O106" i="11" s="1"/>
  <c r="P106" i="11" s="1"/>
  <c r="L106" i="11"/>
  <c r="M106" i="11" s="1"/>
  <c r="M25" i="11"/>
  <c r="N25" i="11"/>
  <c r="K25" i="11"/>
  <c r="L25" i="11" s="1"/>
  <c r="N107" i="10"/>
  <c r="O107" i="10"/>
  <c r="L107" i="10"/>
  <c r="M107" i="10" s="1"/>
  <c r="M26" i="10"/>
  <c r="N26" i="10" s="1"/>
  <c r="K26" i="10"/>
  <c r="L26" i="10" s="1"/>
  <c r="N106" i="9"/>
  <c r="O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 s="1"/>
  <c r="L107" i="7"/>
  <c r="M107" i="7"/>
  <c r="M26" i="7"/>
  <c r="N26" i="7" s="1"/>
  <c r="K26" i="7"/>
  <c r="L26" i="7" s="1"/>
  <c r="N105" i="6"/>
  <c r="O105" i="6" s="1"/>
  <c r="L105" i="6"/>
  <c r="M105" i="6" s="1"/>
  <c r="M24" i="6"/>
  <c r="N24" i="6" s="1"/>
  <c r="K24" i="6"/>
  <c r="L24" i="6"/>
  <c r="N104" i="5"/>
  <c r="O104" i="5" s="1"/>
  <c r="L104" i="5"/>
  <c r="M104" i="5"/>
  <c r="M23" i="5"/>
  <c r="N23" i="5" s="1"/>
  <c r="K23" i="5"/>
  <c r="L23" i="5" s="1"/>
  <c r="N104" i="4"/>
  <c r="O104" i="4" s="1"/>
  <c r="L104" i="4"/>
  <c r="M104" i="4" s="1"/>
  <c r="M23" i="4"/>
  <c r="N23" i="4" s="1"/>
  <c r="K23" i="4"/>
  <c r="L23" i="4"/>
  <c r="N104" i="3"/>
  <c r="O104" i="3" s="1"/>
  <c r="P104" i="3" s="1"/>
  <c r="L104" i="3"/>
  <c r="M104" i="3" s="1"/>
  <c r="M23" i="3"/>
  <c r="N23" i="3" s="1"/>
  <c r="K23" i="3"/>
  <c r="L23" i="3" s="1"/>
  <c r="N100" i="27"/>
  <c r="O100" i="27" s="1"/>
  <c r="P100" i="27" s="1"/>
  <c r="L100" i="27"/>
  <c r="M100" i="27" s="1"/>
  <c r="N99" i="27"/>
  <c r="O99" i="27" s="1"/>
  <c r="L99" i="27"/>
  <c r="M99" i="27" s="1"/>
  <c r="M19" i="27"/>
  <c r="N19" i="27" s="1"/>
  <c r="K19" i="27"/>
  <c r="L19" i="27" s="1"/>
  <c r="M17" i="31"/>
  <c r="N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N24" i="31"/>
  <c r="N23" i="31"/>
  <c r="N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O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N23" i="30"/>
  <c r="N22" i="30"/>
  <c r="N21" i="30"/>
  <c r="C17" i="30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K17" i="29"/>
  <c r="L17" i="29"/>
  <c r="M17" i="28"/>
  <c r="N17" i="28" s="1"/>
  <c r="O17" i="28" s="1"/>
  <c r="K17" i="28"/>
  <c r="L17" i="28" s="1"/>
  <c r="N102" i="25"/>
  <c r="O102" i="25" s="1"/>
  <c r="L102" i="25"/>
  <c r="M102" i="25" s="1"/>
  <c r="M21" i="25"/>
  <c r="N21" i="25" s="1"/>
  <c r="K21" i="25"/>
  <c r="L21" i="25" s="1"/>
  <c r="N100" i="24"/>
  <c r="O100" i="24"/>
  <c r="L100" i="24"/>
  <c r="M100" i="24" s="1"/>
  <c r="M19" i="24"/>
  <c r="N19" i="24"/>
  <c r="K19" i="24"/>
  <c r="L19" i="24" s="1"/>
  <c r="N101" i="23"/>
  <c r="O101" i="23" s="1"/>
  <c r="L101" i="23"/>
  <c r="M101" i="23"/>
  <c r="M20" i="23"/>
  <c r="N20" i="23" s="1"/>
  <c r="K20" i="23"/>
  <c r="L20" i="23" s="1"/>
  <c r="N102" i="22"/>
  <c r="O102" i="22" s="1"/>
  <c r="L102" i="22"/>
  <c r="M102" i="22" s="1"/>
  <c r="M21" i="22"/>
  <c r="N21" i="22" s="1"/>
  <c r="O21" i="22" s="1"/>
  <c r="K21" i="22"/>
  <c r="L21" i="22" s="1"/>
  <c r="N105" i="11"/>
  <c r="O105" i="11" s="1"/>
  <c r="L105" i="11"/>
  <c r="M105" i="11" s="1"/>
  <c r="P105" i="11" s="1"/>
  <c r="M24" i="11"/>
  <c r="K24" i="11"/>
  <c r="L24" i="11" s="1"/>
  <c r="N106" i="10"/>
  <c r="O106" i="10" s="1"/>
  <c r="L106" i="10"/>
  <c r="M106" i="10" s="1"/>
  <c r="M25" i="10"/>
  <c r="N25" i="10"/>
  <c r="K25" i="10"/>
  <c r="L25" i="10" s="1"/>
  <c r="N105" i="9"/>
  <c r="O105" i="9" s="1"/>
  <c r="P105" i="9" s="1"/>
  <c r="L105" i="9"/>
  <c r="M105" i="9"/>
  <c r="M24" i="9"/>
  <c r="N24" i="9" s="1"/>
  <c r="K24" i="9"/>
  <c r="L24" i="9" s="1"/>
  <c r="N104" i="8"/>
  <c r="O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K25" i="7"/>
  <c r="L25" i="7" s="1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 s="1"/>
  <c r="P103" i="5" s="1"/>
  <c r="M22" i="5"/>
  <c r="N22" i="5" s="1"/>
  <c r="K22" i="5"/>
  <c r="L22" i="5" s="1"/>
  <c r="N103" i="4"/>
  <c r="O103" i="4" s="1"/>
  <c r="L103" i="4"/>
  <c r="M103" i="4" s="1"/>
  <c r="M22" i="4"/>
  <c r="N22" i="4" s="1"/>
  <c r="K22" i="4"/>
  <c r="L22" i="4" s="1"/>
  <c r="N103" i="3"/>
  <c r="O103" i="3" s="1"/>
  <c r="P103" i="3" s="1"/>
  <c r="L103" i="3"/>
  <c r="M103" i="3" s="1"/>
  <c r="M22" i="3"/>
  <c r="K22" i="3"/>
  <c r="L22" i="3" s="1"/>
  <c r="D8" i="13"/>
  <c r="D92" i="23"/>
  <c r="P1" i="29"/>
  <c r="P83" i="29" s="1"/>
  <c r="P1" i="28"/>
  <c r="P83" i="28" s="1"/>
  <c r="P1" i="27"/>
  <c r="P83" i="27" s="1"/>
  <c r="D8" i="29"/>
  <c r="D90" i="29" s="1"/>
  <c r="D8" i="28"/>
  <c r="D90" i="28" s="1"/>
  <c r="D8" i="27"/>
  <c r="D90" i="27" s="1"/>
  <c r="D8" i="25"/>
  <c r="D8" i="24"/>
  <c r="D8" i="22"/>
  <c r="D90" i="22" s="1"/>
  <c r="D8" i="11"/>
  <c r="D8" i="10"/>
  <c r="D90" i="10" s="1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N24" i="29"/>
  <c r="N23" i="29"/>
  <c r="N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O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N24" i="28"/>
  <c r="N23" i="28"/>
  <c r="N22" i="28"/>
  <c r="C17" i="28"/>
  <c r="C18" i="28" s="1"/>
  <c r="C19" i="28" s="1"/>
  <c r="C20" i="28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 s="1"/>
  <c r="K17" i="27"/>
  <c r="L17" i="27" s="1"/>
  <c r="N101" i="25"/>
  <c r="O101" i="25" s="1"/>
  <c r="L101" i="25"/>
  <c r="M101" i="25" s="1"/>
  <c r="N100" i="25"/>
  <c r="O100" i="25" s="1"/>
  <c r="L100" i="25"/>
  <c r="M100" i="25" s="1"/>
  <c r="N99" i="25"/>
  <c r="O99" i="25" s="1"/>
  <c r="L99" i="25"/>
  <c r="M99" i="25" s="1"/>
  <c r="M20" i="25"/>
  <c r="N20" i="25"/>
  <c r="K20" i="25"/>
  <c r="L20" i="25" s="1"/>
  <c r="D92" i="24"/>
  <c r="N100" i="23"/>
  <c r="O100" i="23" s="1"/>
  <c r="L100" i="23"/>
  <c r="M100" i="23" s="1"/>
  <c r="P100" i="23" s="1"/>
  <c r="M19" i="23"/>
  <c r="N19" i="23" s="1"/>
  <c r="K19" i="23"/>
  <c r="L19" i="23" s="1"/>
  <c r="N101" i="22"/>
  <c r="O101" i="22" s="1"/>
  <c r="P101" i="22" s="1"/>
  <c r="L101" i="22"/>
  <c r="M101" i="22" s="1"/>
  <c r="M20" i="22"/>
  <c r="N20" i="22" s="1"/>
  <c r="K20" i="22"/>
  <c r="L20" i="22" s="1"/>
  <c r="N104" i="11"/>
  <c r="O104" i="11" s="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/>
  <c r="K24" i="10"/>
  <c r="L24" i="10" s="1"/>
  <c r="N104" i="9"/>
  <c r="O104" i="9" s="1"/>
  <c r="L104" i="9"/>
  <c r="M104" i="9"/>
  <c r="M23" i="9"/>
  <c r="N23" i="9" s="1"/>
  <c r="K23" i="9"/>
  <c r="L23" i="9" s="1"/>
  <c r="N103" i="8"/>
  <c r="O103" i="8" s="1"/>
  <c r="L103" i="8"/>
  <c r="M103" i="8" s="1"/>
  <c r="P103" i="8" s="1"/>
  <c r="M22" i="8"/>
  <c r="N22" i="8" s="1"/>
  <c r="K22" i="8"/>
  <c r="L22" i="8" s="1"/>
  <c r="N105" i="7"/>
  <c r="O105" i="7" s="1"/>
  <c r="P105" i="7" s="1"/>
  <c r="L105" i="7"/>
  <c r="M105" i="7" s="1"/>
  <c r="M24" i="7"/>
  <c r="N24" i="7" s="1"/>
  <c r="O24" i="7" s="1"/>
  <c r="K24" i="7"/>
  <c r="L24" i="7" s="1"/>
  <c r="N103" i="6"/>
  <c r="O103" i="6" s="1"/>
  <c r="P103" i="6" s="1"/>
  <c r="L103" i="6"/>
  <c r="M103" i="6" s="1"/>
  <c r="M22" i="6"/>
  <c r="N22" i="6" s="1"/>
  <c r="O22" i="6" s="1"/>
  <c r="K22" i="6"/>
  <c r="L22" i="6" s="1"/>
  <c r="M21" i="5"/>
  <c r="N21" i="5" s="1"/>
  <c r="K21" i="5"/>
  <c r="L21" i="5" s="1"/>
  <c r="N102" i="4"/>
  <c r="O102" i="4" s="1"/>
  <c r="L102" i="4"/>
  <c r="M102" i="4" s="1"/>
  <c r="M21" i="4"/>
  <c r="N21" i="4" s="1"/>
  <c r="K21" i="4"/>
  <c r="L21" i="4"/>
  <c r="N102" i="3"/>
  <c r="O102" i="3" s="1"/>
  <c r="L102" i="3"/>
  <c r="M102" i="3" s="1"/>
  <c r="M21" i="3"/>
  <c r="N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O19" i="25" s="1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N25" i="27"/>
  <c r="N24" i="27"/>
  <c r="N23" i="27"/>
  <c r="O23" i="27" s="1"/>
  <c r="C17" i="27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K11" i="27"/>
  <c r="I11" i="27"/>
  <c r="M17" i="25"/>
  <c r="N17" i="25" s="1"/>
  <c r="K17" i="25"/>
  <c r="L17" i="25" s="1"/>
  <c r="M17" i="24"/>
  <c r="N17" i="24" s="1"/>
  <c r="K17" i="24"/>
  <c r="N99" i="23"/>
  <c r="O99" i="23" s="1"/>
  <c r="L99" i="23"/>
  <c r="M18" i="23"/>
  <c r="N18" i="23" s="1"/>
  <c r="O18" i="23" s="1"/>
  <c r="K18" i="23"/>
  <c r="L18" i="23" s="1"/>
  <c r="N100" i="22"/>
  <c r="O100" i="22" s="1"/>
  <c r="L100" i="22"/>
  <c r="M19" i="22"/>
  <c r="N19" i="22" s="1"/>
  <c r="K19" i="22"/>
  <c r="L19" i="22" s="1"/>
  <c r="N103" i="11"/>
  <c r="L103" i="11"/>
  <c r="M103" i="11" s="1"/>
  <c r="M22" i="11"/>
  <c r="N22" i="11" s="1"/>
  <c r="K22" i="11"/>
  <c r="N104" i="10"/>
  <c r="L104" i="10"/>
  <c r="M23" i="10"/>
  <c r="N23" i="10" s="1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 s="1"/>
  <c r="K21" i="6"/>
  <c r="N101" i="5"/>
  <c r="L101" i="5"/>
  <c r="M20" i="5"/>
  <c r="N20" i="5" s="1"/>
  <c r="K20" i="5"/>
  <c r="N101" i="4"/>
  <c r="O101" i="4" s="1"/>
  <c r="L101" i="4"/>
  <c r="M20" i="4"/>
  <c r="N20" i="4" s="1"/>
  <c r="K20" i="4"/>
  <c r="N101" i="3"/>
  <c r="O101" i="3" s="1"/>
  <c r="L101" i="3"/>
  <c r="M20" i="3"/>
  <c r="N20" i="3"/>
  <c r="K20" i="3"/>
  <c r="L20" i="3" s="1"/>
  <c r="I10" i="45"/>
  <c r="F81" i="2"/>
  <c r="J94" i="5" s="1"/>
  <c r="J95" i="5" s="1"/>
  <c r="F87" i="2"/>
  <c r="F86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K19" i="4"/>
  <c r="P19" i="17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L19" i="5" s="1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 s="1"/>
  <c r="P24" i="17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L22" i="10" s="1"/>
  <c r="P25" i="17"/>
  <c r="C17" i="1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L18" i="22" s="1"/>
  <c r="O18" i="22" s="1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N22" i="7" s="1"/>
  <c r="M20" i="8"/>
  <c r="M21" i="9"/>
  <c r="N21" i="9" s="1"/>
  <c r="M22" i="10"/>
  <c r="N22" i="10" s="1"/>
  <c r="M21" i="11"/>
  <c r="N21" i="11" s="1"/>
  <c r="O21" i="11" s="1"/>
  <c r="M18" i="22"/>
  <c r="N18" i="22" s="1"/>
  <c r="M17" i="23"/>
  <c r="N17" i="23" s="1"/>
  <c r="F81" i="1"/>
  <c r="I12" i="37" s="1"/>
  <c r="I13" i="37" s="1"/>
  <c r="F86" i="1"/>
  <c r="F90" i="1"/>
  <c r="P1" i="25"/>
  <c r="P83" i="25" s="1"/>
  <c r="I11" i="25"/>
  <c r="K11" i="25"/>
  <c r="N27" i="25"/>
  <c r="N28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10" i="25"/>
  <c r="P110" i="25" s="1"/>
  <c r="M111" i="25"/>
  <c r="P111" i="25" s="1"/>
  <c r="M112" i="25"/>
  <c r="P112" i="25" s="1"/>
  <c r="M113" i="25"/>
  <c r="P113" i="25" s="1"/>
  <c r="M114" i="25"/>
  <c r="P114" i="25" s="1"/>
  <c r="M115" i="25"/>
  <c r="P115" i="25" s="1"/>
  <c r="M116" i="25"/>
  <c r="P116" i="25" s="1"/>
  <c r="M117" i="25"/>
  <c r="P117" i="25" s="1"/>
  <c r="M118" i="25"/>
  <c r="P118" i="25" s="1"/>
  <c r="M119" i="25"/>
  <c r="P119" i="25" s="1"/>
  <c r="M120" i="25"/>
  <c r="P120" i="25" s="1"/>
  <c r="M121" i="25"/>
  <c r="P121" i="25" s="1"/>
  <c r="M122" i="25"/>
  <c r="P122" i="25" s="1"/>
  <c r="M123" i="25"/>
  <c r="P123" i="25" s="1"/>
  <c r="M124" i="25"/>
  <c r="P124" i="25" s="1"/>
  <c r="M125" i="25"/>
  <c r="P125" i="25" s="1"/>
  <c r="M126" i="25"/>
  <c r="P126" i="25" s="1"/>
  <c r="M127" i="25"/>
  <c r="P127" i="25" s="1"/>
  <c r="M128" i="25"/>
  <c r="P128" i="25" s="1"/>
  <c r="M129" i="25"/>
  <c r="P129" i="25" s="1"/>
  <c r="M130" i="25"/>
  <c r="P130" i="25" s="1"/>
  <c r="M131" i="25"/>
  <c r="P131" i="25" s="1"/>
  <c r="M132" i="25"/>
  <c r="P132" i="25" s="1"/>
  <c r="M133" i="25"/>
  <c r="P133" i="25" s="1"/>
  <c r="M134" i="25"/>
  <c r="P134" i="25" s="1"/>
  <c r="M135" i="25"/>
  <c r="P135" i="25" s="1"/>
  <c r="M136" i="25"/>
  <c r="P136" i="25" s="1"/>
  <c r="M137" i="25"/>
  <c r="P137" i="25" s="1"/>
  <c r="M138" i="25"/>
  <c r="P138" i="25" s="1"/>
  <c r="M139" i="25"/>
  <c r="P139" i="25" s="1"/>
  <c r="M140" i="25"/>
  <c r="P140" i="25" s="1"/>
  <c r="M141" i="25"/>
  <c r="P141" i="25" s="1"/>
  <c r="M142" i="25"/>
  <c r="P142" i="25" s="1"/>
  <c r="M143" i="25"/>
  <c r="P143" i="25" s="1"/>
  <c r="M144" i="25"/>
  <c r="P144" i="25" s="1"/>
  <c r="M145" i="25"/>
  <c r="P145" i="25" s="1"/>
  <c r="M146" i="25"/>
  <c r="P146" i="25" s="1"/>
  <c r="M147" i="25"/>
  <c r="P147" i="25" s="1"/>
  <c r="M148" i="25"/>
  <c r="P148" i="25" s="1"/>
  <c r="M149" i="25"/>
  <c r="P149" i="25" s="1"/>
  <c r="M150" i="25"/>
  <c r="P150" i="25" s="1"/>
  <c r="M151" i="25"/>
  <c r="P151" i="25" s="1"/>
  <c r="M152" i="25"/>
  <c r="P152" i="25" s="1"/>
  <c r="M153" i="25"/>
  <c r="P153" i="25" s="1"/>
  <c r="M154" i="25"/>
  <c r="P154" i="25" s="1"/>
  <c r="N99" i="22"/>
  <c r="L99" i="22"/>
  <c r="M99" i="22" s="1"/>
  <c r="N102" i="11"/>
  <c r="O102" i="11" s="1"/>
  <c r="P102" i="11" s="1"/>
  <c r="L102" i="11"/>
  <c r="M102" i="11" s="1"/>
  <c r="N103" i="10"/>
  <c r="L103" i="10"/>
  <c r="M103" i="10" s="1"/>
  <c r="P103" i="10" s="1"/>
  <c r="N102" i="9"/>
  <c r="O102" i="9" s="1"/>
  <c r="P102" i="9" s="1"/>
  <c r="L102" i="9"/>
  <c r="M102" i="9" s="1"/>
  <c r="N101" i="8"/>
  <c r="L101" i="8"/>
  <c r="M101" i="8" s="1"/>
  <c r="N103" i="7"/>
  <c r="O103" i="7" s="1"/>
  <c r="P103" i="7" s="1"/>
  <c r="L103" i="7"/>
  <c r="M103" i="7" s="1"/>
  <c r="N101" i="6"/>
  <c r="L101" i="6"/>
  <c r="N100" i="5"/>
  <c r="O100" i="5" s="1"/>
  <c r="L100" i="5"/>
  <c r="N100" i="4"/>
  <c r="L100" i="4"/>
  <c r="P1" i="24"/>
  <c r="P83" i="24" s="1"/>
  <c r="I11" i="24"/>
  <c r="K11" i="24"/>
  <c r="L17" i="24"/>
  <c r="N25" i="24"/>
  <c r="N26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O106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K21" i="10"/>
  <c r="L21" i="10" s="1"/>
  <c r="K18" i="3"/>
  <c r="K18" i="4"/>
  <c r="K18" i="5"/>
  <c r="K19" i="6"/>
  <c r="L19" i="6" s="1"/>
  <c r="K21" i="7"/>
  <c r="K19" i="8"/>
  <c r="L19" i="8" s="1"/>
  <c r="K20" i="9"/>
  <c r="L20" i="9" s="1"/>
  <c r="K20" i="11"/>
  <c r="L20" i="11" s="1"/>
  <c r="K17" i="22"/>
  <c r="L17" i="22" s="1"/>
  <c r="W28" i="17"/>
  <c r="B19" i="23"/>
  <c r="I17" i="23"/>
  <c r="P1" i="23"/>
  <c r="P83" i="23" s="1"/>
  <c r="I11" i="23"/>
  <c r="K11" i="23"/>
  <c r="L17" i="23"/>
  <c r="B18" i="23"/>
  <c r="N26" i="23"/>
  <c r="N27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107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 s="1"/>
  <c r="N101" i="11"/>
  <c r="O101" i="11" s="1"/>
  <c r="L101" i="11"/>
  <c r="M101" i="11" s="1"/>
  <c r="M20" i="11"/>
  <c r="N20" i="11" s="1"/>
  <c r="M21" i="10"/>
  <c r="N21" i="10"/>
  <c r="N102" i="10"/>
  <c r="O102" i="10" s="1"/>
  <c r="L102" i="10"/>
  <c r="M20" i="9"/>
  <c r="N20" i="9"/>
  <c r="N101" i="9"/>
  <c r="L101" i="9"/>
  <c r="N100" i="8"/>
  <c r="O100" i="8" s="1"/>
  <c r="L100" i="8"/>
  <c r="M100" i="8" s="1"/>
  <c r="M19" i="8"/>
  <c r="N19" i="8" s="1"/>
  <c r="N102" i="7"/>
  <c r="L102" i="7"/>
  <c r="M102" i="7" s="1"/>
  <c r="M21" i="7"/>
  <c r="N21" i="7" s="1"/>
  <c r="O21" i="7" s="1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1"/>
  <c r="D90" i="13"/>
  <c r="W27" i="17"/>
  <c r="N99" i="6"/>
  <c r="O99" i="6" s="1"/>
  <c r="P1" i="22"/>
  <c r="P83" i="22" s="1"/>
  <c r="I11" i="22"/>
  <c r="K11" i="22"/>
  <c r="I17" i="22"/>
  <c r="I18" i="22"/>
  <c r="N27" i="22"/>
  <c r="N28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O99" i="22"/>
  <c r="M100" i="22"/>
  <c r="O108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I18" i="11"/>
  <c r="L18" i="11"/>
  <c r="N18" i="11"/>
  <c r="I19" i="11"/>
  <c r="L19" i="11"/>
  <c r="N19" i="11"/>
  <c r="I20" i="11"/>
  <c r="I21" i="11"/>
  <c r="L22" i="11"/>
  <c r="N30" i="11"/>
  <c r="N31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P99" i="11" s="1"/>
  <c r="J100" i="11"/>
  <c r="M100" i="11"/>
  <c r="O100" i="11"/>
  <c r="J101" i="11"/>
  <c r="J102" i="11"/>
  <c r="O103" i="11"/>
  <c r="O111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I18" i="10"/>
  <c r="L18" i="10"/>
  <c r="N18" i="10"/>
  <c r="I19" i="10"/>
  <c r="L19" i="10"/>
  <c r="O19" i="10" s="1"/>
  <c r="N19" i="10"/>
  <c r="I20" i="10"/>
  <c r="L20" i="10"/>
  <c r="N20" i="10"/>
  <c r="I21" i="10"/>
  <c r="I22" i="10"/>
  <c r="L23" i="10"/>
  <c r="N31" i="10"/>
  <c r="N32" i="10"/>
  <c r="N33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J102" i="10"/>
  <c r="M102" i="10"/>
  <c r="J103" i="10"/>
  <c r="O103" i="10"/>
  <c r="M104" i="10"/>
  <c r="O104" i="10"/>
  <c r="P104" i="10" s="1"/>
  <c r="O112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I18" i="9"/>
  <c r="L18" i="9"/>
  <c r="N18" i="9"/>
  <c r="O18" i="9" s="1"/>
  <c r="I19" i="9"/>
  <c r="L19" i="9"/>
  <c r="N19" i="9"/>
  <c r="O19" i="9" s="1"/>
  <c r="I21" i="9"/>
  <c r="N30" i="9"/>
  <c r="N31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J102" i="9"/>
  <c r="M103" i="9"/>
  <c r="O103" i="9"/>
  <c r="P103" i="9" s="1"/>
  <c r="O111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I19" i="8"/>
  <c r="I20" i="8"/>
  <c r="L20" i="8"/>
  <c r="N20" i="8"/>
  <c r="O20" i="8" s="1"/>
  <c r="L21" i="8"/>
  <c r="N29" i="8"/>
  <c r="N30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O110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I18" i="7"/>
  <c r="N18" i="7"/>
  <c r="I19" i="7"/>
  <c r="L19" i="7"/>
  <c r="N19" i="7"/>
  <c r="I20" i="7"/>
  <c r="L20" i="7"/>
  <c r="N20" i="7"/>
  <c r="I21" i="7"/>
  <c r="L21" i="7"/>
  <c r="I22" i="7"/>
  <c r="L23" i="7"/>
  <c r="N31" i="7"/>
  <c r="N32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J101" i="7"/>
  <c r="O101" i="7"/>
  <c r="J102" i="7"/>
  <c r="O102" i="7"/>
  <c r="P102" i="7" s="1"/>
  <c r="J103" i="7"/>
  <c r="M104" i="7"/>
  <c r="O112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I18" i="6"/>
  <c r="L18" i="6"/>
  <c r="N18" i="6"/>
  <c r="O18" i="6" s="1"/>
  <c r="N19" i="6"/>
  <c r="L20" i="6"/>
  <c r="N20" i="6"/>
  <c r="L21" i="6"/>
  <c r="N29" i="6"/>
  <c r="N30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M102" i="6"/>
  <c r="O102" i="6"/>
  <c r="O110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I19" i="5"/>
  <c r="N19" i="5"/>
  <c r="O19" i="5" s="1"/>
  <c r="L20" i="5"/>
  <c r="N28" i="5"/>
  <c r="O28" i="5" s="1"/>
  <c r="N29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P99" i="5" s="1"/>
  <c r="J100" i="5"/>
  <c r="M100" i="5"/>
  <c r="M101" i="5"/>
  <c r="O101" i="5"/>
  <c r="P101" i="5" s="1"/>
  <c r="O109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I19" i="4"/>
  <c r="L19" i="4"/>
  <c r="N19" i="4"/>
  <c r="O19" i="4" s="1"/>
  <c r="L20" i="4"/>
  <c r="N28" i="4"/>
  <c r="N29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M101" i="4"/>
  <c r="P105" i="4"/>
  <c r="O109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L18" i="3"/>
  <c r="N19" i="3"/>
  <c r="O19" i="3" s="1"/>
  <c r="N28" i="3"/>
  <c r="N29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O99" i="3"/>
  <c r="J100" i="3"/>
  <c r="M100" i="3"/>
  <c r="O100" i="3"/>
  <c r="P100" i="3" s="1"/>
  <c r="M101" i="3"/>
  <c r="O109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 s="1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P100" i="22"/>
  <c r="B104" i="11"/>
  <c r="B24" i="10"/>
  <c r="B104" i="9"/>
  <c r="B23" i="9"/>
  <c r="B102" i="5"/>
  <c r="O20" i="5"/>
  <c r="O20" i="4"/>
  <c r="B102" i="3"/>
  <c r="B21" i="3"/>
  <c r="O18" i="25"/>
  <c r="B19" i="25"/>
  <c r="B20" i="25"/>
  <c r="I18" i="25"/>
  <c r="C99" i="27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D99" i="24" s="1"/>
  <c r="P104" i="11"/>
  <c r="O24" i="10"/>
  <c r="B25" i="10"/>
  <c r="B24" i="9"/>
  <c r="B23" i="8"/>
  <c r="B104" i="6"/>
  <c r="B22" i="5"/>
  <c r="O21" i="4"/>
  <c r="P102" i="3"/>
  <c r="M18" i="24"/>
  <c r="N18" i="24" s="1"/>
  <c r="B100" i="24"/>
  <c r="N99" i="24"/>
  <c r="O99" i="24" s="1"/>
  <c r="L99" i="24"/>
  <c r="M99" i="24" s="1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P99" i="29"/>
  <c r="B100" i="29"/>
  <c r="B19" i="29"/>
  <c r="P101" i="24"/>
  <c r="P102" i="23"/>
  <c r="O25" i="11"/>
  <c r="B108" i="10"/>
  <c r="P107" i="10"/>
  <c r="O25" i="9"/>
  <c r="B26" i="9"/>
  <c r="P105" i="8"/>
  <c r="B27" i="7"/>
  <c r="B106" i="6"/>
  <c r="B24" i="4"/>
  <c r="B105" i="3"/>
  <c r="K18" i="27"/>
  <c r="B103" i="23"/>
  <c r="B100" i="27"/>
  <c r="B19" i="27"/>
  <c r="L18" i="27"/>
  <c r="I18" i="27"/>
  <c r="M18" i="27"/>
  <c r="N18" i="27" s="1"/>
  <c r="O18" i="27" s="1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 s="1"/>
  <c r="B28" i="7"/>
  <c r="P99" i="30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100" i="42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B108" i="6"/>
  <c r="B21" i="31"/>
  <c r="I20" i="31"/>
  <c r="J101" i="31"/>
  <c r="B102" i="31"/>
  <c r="J92" i="41"/>
  <c r="L86" i="41" s="1"/>
  <c r="J94" i="22"/>
  <c r="J95" i="22" s="1"/>
  <c r="J94" i="37"/>
  <c r="J95" i="37" s="1"/>
  <c r="J94" i="41"/>
  <c r="J95" i="41" s="1"/>
  <c r="J94" i="24"/>
  <c r="J95" i="24" s="1"/>
  <c r="J94" i="39"/>
  <c r="J95" i="39" s="1"/>
  <c r="J94" i="42"/>
  <c r="J95" i="42" s="1"/>
  <c r="B109" i="6"/>
  <c r="B110" i="11"/>
  <c r="L20" i="31"/>
  <c r="O20" i="31"/>
  <c r="B18" i="38"/>
  <c r="I17" i="38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P99" i="39"/>
  <c r="B19" i="38"/>
  <c r="O17" i="37"/>
  <c r="O20" i="37"/>
  <c r="B103" i="28"/>
  <c r="B22" i="28"/>
  <c r="B109" i="8"/>
  <c r="B27" i="3"/>
  <c r="B101" i="30"/>
  <c r="O23" i="7"/>
  <c r="B104" i="27"/>
  <c r="C45" i="3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P103" i="11"/>
  <c r="P99" i="4"/>
  <c r="P100" i="6"/>
  <c r="P104" i="7"/>
  <c r="P99" i="7"/>
  <c r="O20" i="7"/>
  <c r="P99" i="10"/>
  <c r="O17" i="4"/>
  <c r="P100" i="5"/>
  <c r="O19" i="7"/>
  <c r="P100" i="11"/>
  <c r="O22" i="4"/>
  <c r="O23" i="6"/>
  <c r="O19" i="11"/>
  <c r="P99" i="25"/>
  <c r="P100" i="25"/>
  <c r="P106" i="7"/>
  <c r="O24" i="9"/>
  <c r="O25" i="10"/>
  <c r="P99" i="27"/>
  <c r="P99" i="28"/>
  <c r="O24" i="4"/>
  <c r="O27" i="9"/>
  <c r="P107" i="8"/>
  <c r="O23" i="23"/>
  <c r="O20" i="28"/>
  <c r="P101" i="29"/>
  <c r="P109" i="10"/>
  <c r="P103" i="24"/>
  <c r="P102" i="27"/>
  <c r="P103" i="23"/>
  <c r="O19" i="29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I10" i="44"/>
  <c r="I10" i="46"/>
  <c r="I10" i="43"/>
  <c r="N58" i="17"/>
  <c r="F58" i="17"/>
  <c r="D58" i="17"/>
  <c r="C58" i="17"/>
  <c r="O58" i="17"/>
  <c r="E58" i="17"/>
  <c r="G100" i="48" l="1"/>
  <c r="J94" i="29"/>
  <c r="J95" i="29" s="1"/>
  <c r="J94" i="23"/>
  <c r="J95" i="23" s="1"/>
  <c r="J94" i="31"/>
  <c r="J95" i="31" s="1"/>
  <c r="J94" i="40"/>
  <c r="J95" i="40" s="1"/>
  <c r="J94" i="10"/>
  <c r="J95" i="10" s="1"/>
  <c r="P102" i="6"/>
  <c r="P101" i="3"/>
  <c r="P101" i="4"/>
  <c r="O23" i="9"/>
  <c r="P100" i="24"/>
  <c r="O23" i="5"/>
  <c r="O26" i="7"/>
  <c r="P99" i="22"/>
  <c r="O20" i="25"/>
  <c r="O25" i="7"/>
  <c r="O20" i="23"/>
  <c r="O17" i="31"/>
  <c r="P104" i="4"/>
  <c r="P105" i="6"/>
  <c r="O26" i="10"/>
  <c r="P103" i="22"/>
  <c r="O23" i="25"/>
  <c r="P101" i="27"/>
  <c r="P109" i="7"/>
  <c r="O24" i="22"/>
  <c r="P104" i="23"/>
  <c r="P99" i="3"/>
  <c r="O17" i="10"/>
  <c r="O20" i="11"/>
  <c r="O21" i="10"/>
  <c r="P102" i="4"/>
  <c r="O17" i="27"/>
  <c r="P102" i="22"/>
  <c r="P102" i="25"/>
  <c r="O23" i="4"/>
  <c r="O24" i="6"/>
  <c r="O24" i="5"/>
  <c r="P108" i="7"/>
  <c r="O26" i="9"/>
  <c r="P107" i="11"/>
  <c r="P101" i="7"/>
  <c r="P102" i="8"/>
  <c r="P101" i="9"/>
  <c r="O17" i="9"/>
  <c r="P101" i="10"/>
  <c r="R12" i="17"/>
  <c r="O18" i="4"/>
  <c r="P102" i="10"/>
  <c r="P101" i="11"/>
  <c r="O22" i="7"/>
  <c r="P104" i="9"/>
  <c r="P105" i="10"/>
  <c r="O20" i="22"/>
  <c r="P101" i="25"/>
  <c r="P104" i="5"/>
  <c r="P107" i="7"/>
  <c r="P106" i="25"/>
  <c r="P102" i="29"/>
  <c r="P102" i="31"/>
  <c r="C100" i="24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P99" i="24"/>
  <c r="P100" i="7"/>
  <c r="P99" i="6"/>
  <c r="O22" i="10"/>
  <c r="P106" i="10"/>
  <c r="O20" i="24"/>
  <c r="P107" i="3"/>
  <c r="P108" i="8"/>
  <c r="P106" i="22"/>
  <c r="O18" i="39"/>
  <c r="O17" i="3"/>
  <c r="O18" i="5"/>
  <c r="O19" i="6"/>
  <c r="O17" i="6"/>
  <c r="O20" i="10"/>
  <c r="O22" i="8"/>
  <c r="O22" i="5"/>
  <c r="P106" i="9"/>
  <c r="O18" i="38"/>
  <c r="F99" i="13"/>
  <c r="G99" i="13" s="1"/>
  <c r="O17" i="11"/>
  <c r="O17" i="25"/>
  <c r="P110" i="10"/>
  <c r="P104" i="24"/>
  <c r="O20" i="9"/>
  <c r="O18" i="3"/>
  <c r="O17" i="23"/>
  <c r="O21" i="3"/>
  <c r="O21" i="5"/>
  <c r="P104" i="8"/>
  <c r="O17" i="29"/>
  <c r="O23" i="3"/>
  <c r="O17" i="38"/>
  <c r="O26" i="11"/>
  <c r="O25" i="3"/>
  <c r="O25" i="4"/>
  <c r="P106" i="5"/>
  <c r="P101" i="31"/>
  <c r="O27" i="8"/>
  <c r="O25" i="22"/>
  <c r="O17" i="40"/>
  <c r="P100" i="4"/>
  <c r="P101" i="6"/>
  <c r="O20" i="6"/>
  <c r="O17" i="7"/>
  <c r="O18" i="8"/>
  <c r="O17" i="8"/>
  <c r="O18" i="10"/>
  <c r="T12" i="17"/>
  <c r="O21" i="9"/>
  <c r="O17" i="24"/>
  <c r="P103" i="4"/>
  <c r="P101" i="23"/>
  <c r="O19" i="27"/>
  <c r="P105" i="5"/>
  <c r="P106" i="6"/>
  <c r="P104" i="25"/>
  <c r="O19" i="31"/>
  <c r="O25" i="5"/>
  <c r="P108" i="9"/>
  <c r="O21" i="27"/>
  <c r="O19" i="30"/>
  <c r="P107" i="5"/>
  <c r="O24" i="3"/>
  <c r="O27" i="10"/>
  <c r="O23" i="22"/>
  <c r="O22" i="24"/>
  <c r="C61" i="2"/>
  <c r="D93" i="3"/>
  <c r="C99" i="3" s="1"/>
  <c r="C76" i="2"/>
  <c r="F14" i="2"/>
  <c r="E19" i="2" s="1"/>
  <c r="F19" i="2" s="1"/>
  <c r="F17" i="2"/>
  <c r="D94" i="23"/>
  <c r="I12" i="24"/>
  <c r="I13" i="24" s="1"/>
  <c r="F18" i="2"/>
  <c r="J94" i="49"/>
  <c r="J94" i="48"/>
  <c r="J94" i="47"/>
  <c r="J95" i="47" s="1"/>
  <c r="I12" i="42"/>
  <c r="I13" i="42" s="1"/>
  <c r="I12" i="49"/>
  <c r="I12" i="48"/>
  <c r="I13" i="48" s="1"/>
  <c r="I12" i="47"/>
  <c r="I13" i="47" s="1"/>
  <c r="G100" i="49"/>
  <c r="D101" i="49"/>
  <c r="B101" i="49" s="1"/>
  <c r="H100" i="48"/>
  <c r="E101" i="48"/>
  <c r="F101" i="48" s="1"/>
  <c r="B101" i="48"/>
  <c r="O23" i="24"/>
  <c r="O18" i="37"/>
  <c r="O22" i="27"/>
  <c r="O26" i="5"/>
  <c r="J92" i="45"/>
  <c r="J92" i="49"/>
  <c r="J92" i="47"/>
  <c r="J92" i="48"/>
  <c r="O58" i="8"/>
  <c r="O52" i="23"/>
  <c r="F88" i="1"/>
  <c r="F89" i="1" s="1"/>
  <c r="F91" i="1" s="1"/>
  <c r="F92" i="1" s="1"/>
  <c r="F93" i="1" s="1"/>
  <c r="O59" i="27"/>
  <c r="O55" i="31"/>
  <c r="O34" i="37"/>
  <c r="O52" i="37"/>
  <c r="O56" i="37"/>
  <c r="I12" i="22"/>
  <c r="I13" i="22" s="1"/>
  <c r="I12" i="23"/>
  <c r="I13" i="23" s="1"/>
  <c r="I12" i="30"/>
  <c r="I13" i="30" s="1"/>
  <c r="I12" i="11"/>
  <c r="I13" i="11" s="1"/>
  <c r="O29" i="5"/>
  <c r="O26" i="37"/>
  <c r="O45" i="40"/>
  <c r="O67" i="45"/>
  <c r="I12" i="31"/>
  <c r="I13" i="31" s="1"/>
  <c r="I12" i="8"/>
  <c r="I13" i="8" s="1"/>
  <c r="I12" i="29"/>
  <c r="I13" i="29" s="1"/>
  <c r="I12" i="27"/>
  <c r="I13" i="27" s="1"/>
  <c r="I12" i="5"/>
  <c r="I13" i="5" s="1"/>
  <c r="I12" i="10"/>
  <c r="I13" i="10" s="1"/>
  <c r="F18" i="1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C77" i="1"/>
  <c r="I12" i="40"/>
  <c r="I13" i="40" s="1"/>
  <c r="I12" i="38"/>
  <c r="I13" i="38" s="1"/>
  <c r="I12" i="13"/>
  <c r="I13" i="13" s="1"/>
  <c r="I12" i="28"/>
  <c r="I13" i="28" s="1"/>
  <c r="I12" i="3"/>
  <c r="I13" i="3" s="1"/>
  <c r="I12" i="25"/>
  <c r="I13" i="25" s="1"/>
  <c r="C59" i="1"/>
  <c r="O46" i="23"/>
  <c r="O31" i="9"/>
  <c r="O25" i="27"/>
  <c r="O29" i="27"/>
  <c r="O37" i="27"/>
  <c r="O39" i="27"/>
  <c r="O45" i="27"/>
  <c r="O47" i="27"/>
  <c r="O51" i="27"/>
  <c r="O53" i="27"/>
  <c r="O55" i="27"/>
  <c r="O57" i="27"/>
  <c r="O61" i="27"/>
  <c r="O65" i="27"/>
  <c r="O67" i="27"/>
  <c r="O39" i="28"/>
  <c r="O43" i="22"/>
  <c r="O37" i="22"/>
  <c r="O31" i="22"/>
  <c r="O64" i="29"/>
  <c r="O48" i="5"/>
  <c r="O40" i="5"/>
  <c r="O38" i="5"/>
  <c r="O39" i="6"/>
  <c r="O54" i="13"/>
  <c r="O50" i="13"/>
  <c r="O46" i="13"/>
  <c r="O38" i="38"/>
  <c r="O25" i="44"/>
  <c r="O51" i="45"/>
  <c r="O55" i="45"/>
  <c r="O71" i="45"/>
  <c r="O57" i="44"/>
  <c r="O31" i="39"/>
  <c r="O35" i="39"/>
  <c r="O45" i="39"/>
  <c r="O67" i="39"/>
  <c r="O22" i="37"/>
  <c r="O24" i="37"/>
  <c r="O28" i="37"/>
  <c r="O30" i="37"/>
  <c r="O32" i="37"/>
  <c r="O36" i="37"/>
  <c r="O38" i="37"/>
  <c r="O50" i="37"/>
  <c r="O54" i="37"/>
  <c r="O58" i="37"/>
  <c r="O60" i="37"/>
  <c r="O62" i="37"/>
  <c r="O66" i="37"/>
  <c r="O68" i="37"/>
  <c r="O70" i="37"/>
  <c r="O25" i="31"/>
  <c r="O35" i="31"/>
  <c r="O37" i="31"/>
  <c r="O41" i="31"/>
  <c r="O51" i="31"/>
  <c r="O59" i="31"/>
  <c r="O67" i="31"/>
  <c r="O69" i="31"/>
  <c r="O71" i="31"/>
  <c r="O52" i="30"/>
  <c r="O70" i="23"/>
  <c r="O64" i="23"/>
  <c r="O60" i="23"/>
  <c r="O58" i="23"/>
  <c r="O54" i="23"/>
  <c r="O50" i="23"/>
  <c r="O42" i="23"/>
  <c r="O62" i="8"/>
  <c r="O58" i="9"/>
  <c r="O33" i="23"/>
  <c r="O38" i="9"/>
  <c r="O53" i="28"/>
  <c r="O57" i="28"/>
  <c r="O71" i="28"/>
  <c r="O52" i="29"/>
  <c r="O72" i="31"/>
  <c r="O49" i="42"/>
  <c r="O51" i="42"/>
  <c r="O33" i="27"/>
  <c r="O69" i="44"/>
  <c r="F17" i="1"/>
  <c r="O55" i="7"/>
  <c r="O49" i="7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71" i="22"/>
  <c r="O67" i="22"/>
  <c r="O59" i="22"/>
  <c r="O47" i="22"/>
  <c r="O41" i="22"/>
  <c r="O39" i="22"/>
  <c r="O29" i="22"/>
  <c r="O72" i="25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23" i="30"/>
  <c r="O47" i="30"/>
  <c r="O54" i="40"/>
  <c r="O60" i="40"/>
  <c r="O52" i="44"/>
  <c r="D94" i="5"/>
  <c r="D94" i="13"/>
  <c r="O33" i="44"/>
  <c r="O41" i="44"/>
  <c r="O65" i="44"/>
  <c r="D94" i="6"/>
  <c r="O69" i="11"/>
  <c r="O37" i="11"/>
  <c r="O71" i="24"/>
  <c r="O61" i="24"/>
  <c r="O37" i="24"/>
  <c r="O67" i="29"/>
  <c r="O23" i="31"/>
  <c r="O27" i="31"/>
  <c r="O47" i="31"/>
  <c r="O59" i="45"/>
  <c r="O49" i="44"/>
  <c r="O33" i="41"/>
  <c r="O57" i="41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25" i="39"/>
  <c r="O41" i="39"/>
  <c r="O51" i="39"/>
  <c r="O55" i="39"/>
  <c r="O31" i="38"/>
  <c r="O65" i="38"/>
  <c r="O26" i="29"/>
  <c r="O34" i="29"/>
  <c r="O36" i="29"/>
  <c r="O40" i="29"/>
  <c r="O50" i="29"/>
  <c r="O56" i="29"/>
  <c r="O43" i="27"/>
  <c r="O53" i="9"/>
  <c r="O69" i="7"/>
  <c r="O65" i="7"/>
  <c r="O57" i="7"/>
  <c r="O51" i="7"/>
  <c r="O45" i="7"/>
  <c r="O39" i="7"/>
  <c r="O31" i="7"/>
  <c r="O67" i="6"/>
  <c r="O47" i="6"/>
  <c r="O71" i="4"/>
  <c r="O55" i="4"/>
  <c r="O62" i="3"/>
  <c r="O34" i="3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M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51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P129" i="22"/>
  <c r="P125" i="22"/>
  <c r="P117" i="22"/>
  <c r="P115" i="22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D93" i="29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L86" i="10"/>
  <c r="M87" i="10"/>
  <c r="D94" i="9"/>
  <c r="D93" i="9"/>
  <c r="D94" i="8"/>
  <c r="D93" i="8"/>
  <c r="D93" i="7"/>
  <c r="D94" i="7"/>
  <c r="O18" i="24"/>
  <c r="O19" i="8"/>
  <c r="B28" i="8"/>
  <c r="B26" i="22"/>
  <c r="O59" i="3"/>
  <c r="O49" i="3"/>
  <c r="O49" i="4"/>
  <c r="O20" i="3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06" i="24"/>
  <c r="P105" i="44"/>
  <c r="P112" i="45"/>
  <c r="P142" i="4"/>
  <c r="P132" i="4"/>
  <c r="P154" i="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C45" i="17"/>
  <c r="C47" i="17"/>
  <c r="D19" i="17"/>
  <c r="C27" i="17"/>
  <c r="C30" i="17"/>
  <c r="D40" i="17"/>
  <c r="C46" i="17"/>
  <c r="D26" i="17"/>
  <c r="C48" i="17"/>
  <c r="D37" i="17"/>
  <c r="C44" i="17"/>
  <c r="D46" i="17"/>
  <c r="C29" i="17"/>
  <c r="C33" i="17"/>
  <c r="C37" i="17"/>
  <c r="D32" i="17"/>
  <c r="C19" i="17"/>
  <c r="C18" i="17"/>
  <c r="C26" i="17"/>
  <c r="D44" i="17"/>
  <c r="C23" i="17"/>
  <c r="D20" i="17"/>
  <c r="C35" i="17"/>
  <c r="C38" i="17"/>
  <c r="C20" i="17"/>
  <c r="D45" i="17"/>
  <c r="D43" i="17"/>
  <c r="C28" i="17"/>
  <c r="C36" i="17"/>
  <c r="C39" i="17"/>
  <c r="D36" i="17"/>
  <c r="C32" i="17"/>
  <c r="D29" i="17"/>
  <c r="D47" i="17"/>
  <c r="D48" i="17"/>
  <c r="C100" i="3" l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M87" i="5"/>
  <c r="M87" i="40"/>
  <c r="F20" i="2"/>
  <c r="E25" i="2" s="1"/>
  <c r="E26" i="2" s="1"/>
  <c r="E30" i="2" s="1"/>
  <c r="L86" i="28"/>
  <c r="N87" i="4"/>
  <c r="N87" i="11"/>
  <c r="O87" i="11" s="1"/>
  <c r="N87" i="28"/>
  <c r="O87" i="28" s="1"/>
  <c r="N87" i="23"/>
  <c r="O87" i="23" s="1"/>
  <c r="N87" i="3"/>
  <c r="O87" i="3" s="1"/>
  <c r="N87" i="42"/>
  <c r="L86" i="45"/>
  <c r="J95" i="48"/>
  <c r="L99" i="48"/>
  <c r="M99" i="48" s="1"/>
  <c r="N87" i="13"/>
  <c r="J95" i="49"/>
  <c r="I99" i="49" s="1"/>
  <c r="H99" i="49"/>
  <c r="L99" i="49" s="1"/>
  <c r="M99" i="49" s="1"/>
  <c r="J95" i="9"/>
  <c r="H17" i="13"/>
  <c r="I13" i="49"/>
  <c r="D102" i="48"/>
  <c r="G101" i="48"/>
  <c r="E101" i="49"/>
  <c r="F101" i="49" s="1"/>
  <c r="H100" i="49"/>
  <c r="D13" i="48"/>
  <c r="I14" i="48" s="1"/>
  <c r="D13" i="47"/>
  <c r="I14" i="47" s="1"/>
  <c r="D13" i="49"/>
  <c r="I14" i="49" s="1"/>
  <c r="N87" i="25"/>
  <c r="O87" i="25" s="1"/>
  <c r="L86" i="25"/>
  <c r="N87" i="47"/>
  <c r="L86" i="47"/>
  <c r="M87" i="47"/>
  <c r="N88" i="49"/>
  <c r="L86" i="49"/>
  <c r="N87" i="49"/>
  <c r="M88" i="49"/>
  <c r="M87" i="49"/>
  <c r="M88" i="48"/>
  <c r="L86" i="48"/>
  <c r="D13" i="27"/>
  <c r="I14" i="27" s="1"/>
  <c r="E19" i="27" s="1"/>
  <c r="D13" i="29"/>
  <c r="I14" i="29" s="1"/>
  <c r="D13" i="45"/>
  <c r="I14" i="45" s="1"/>
  <c r="D13" i="28"/>
  <c r="I14" i="28" s="1"/>
  <c r="D13" i="23"/>
  <c r="I14" i="23" s="1"/>
  <c r="D13" i="4"/>
  <c r="I14" i="4" s="1"/>
  <c r="D13" i="9"/>
  <c r="I14" i="9" s="1"/>
  <c r="D13" i="22"/>
  <c r="I14" i="22" s="1"/>
  <c r="F20" i="1"/>
  <c r="E32" i="1" s="1"/>
  <c r="D13" i="41"/>
  <c r="I14" i="41" s="1"/>
  <c r="D13" i="24"/>
  <c r="I14" i="24" s="1"/>
  <c r="D13" i="13"/>
  <c r="D13" i="8"/>
  <c r="I14" i="8" s="1"/>
  <c r="D13" i="46"/>
  <c r="I14" i="46" s="1"/>
  <c r="D13" i="25"/>
  <c r="I14" i="25" s="1"/>
  <c r="D13" i="40"/>
  <c r="I14" i="40" s="1"/>
  <c r="D13" i="42"/>
  <c r="I14" i="42" s="1"/>
  <c r="D13" i="5"/>
  <c r="I14" i="5" s="1"/>
  <c r="D13" i="6"/>
  <c r="I14" i="6" s="1"/>
  <c r="D13" i="43"/>
  <c r="I14" i="43" s="1"/>
  <c r="D13" i="10"/>
  <c r="I14" i="10" s="1"/>
  <c r="D13" i="31"/>
  <c r="I14" i="31" s="1"/>
  <c r="D13" i="39"/>
  <c r="I14" i="39" s="1"/>
  <c r="D13" i="37"/>
  <c r="I14" i="37" s="1"/>
  <c r="D13" i="11"/>
  <c r="I14" i="11" s="1"/>
  <c r="D13" i="38"/>
  <c r="I14" i="38" s="1"/>
  <c r="D13" i="3"/>
  <c r="I14" i="3" s="1"/>
  <c r="D13" i="7"/>
  <c r="I14" i="7" s="1"/>
  <c r="D13" i="30"/>
  <c r="I14" i="30" s="1"/>
  <c r="D13" i="44"/>
  <c r="I14" i="44" s="1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L86" i="44"/>
  <c r="M87" i="7"/>
  <c r="N87" i="5"/>
  <c r="O87" i="5" s="1"/>
  <c r="N87" i="27"/>
  <c r="M87" i="27"/>
  <c r="N87" i="24"/>
  <c r="N87" i="30"/>
  <c r="N87" i="40"/>
  <c r="M87" i="44"/>
  <c r="O87" i="44" s="1"/>
  <c r="N87" i="7"/>
  <c r="O87" i="7" s="1"/>
  <c r="M87" i="43"/>
  <c r="O87" i="43" s="1"/>
  <c r="M87" i="24"/>
  <c r="L86" i="43"/>
  <c r="M87" i="30"/>
  <c r="M87" i="39"/>
  <c r="O87" i="39" s="1"/>
  <c r="L86" i="9"/>
  <c r="N87" i="38"/>
  <c r="M87" i="38"/>
  <c r="M87" i="6"/>
  <c r="N87" i="6"/>
  <c r="L86" i="11"/>
  <c r="M87" i="37"/>
  <c r="O87" i="37" s="1"/>
  <c r="M87" i="4"/>
  <c r="E100" i="13"/>
  <c r="F100" i="13" s="1"/>
  <c r="D101" i="13" s="1"/>
  <c r="E101" i="13" s="1"/>
  <c r="B19" i="44"/>
  <c r="D18" i="13"/>
  <c r="G17" i="13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M87" i="46"/>
  <c r="N87" i="46"/>
  <c r="L86" i="46"/>
  <c r="O87" i="10"/>
  <c r="O87" i="4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I13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C41" i="17"/>
  <c r="D31" i="17"/>
  <c r="C24" i="17"/>
  <c r="D34" i="17"/>
  <c r="C22" i="17"/>
  <c r="D18" i="17"/>
  <c r="C43" i="17"/>
  <c r="D38" i="17"/>
  <c r="D39" i="17"/>
  <c r="D27" i="17"/>
  <c r="D42" i="17"/>
  <c r="C40" i="17"/>
  <c r="C21" i="17"/>
  <c r="D28" i="17"/>
  <c r="C25" i="17"/>
  <c r="D21" i="17"/>
  <c r="C31" i="17"/>
  <c r="D25" i="17"/>
  <c r="D41" i="17"/>
  <c r="D24" i="17"/>
  <c r="D23" i="17"/>
  <c r="C42" i="17"/>
  <c r="D22" i="17"/>
  <c r="D35" i="17"/>
  <c r="D33" i="17"/>
  <c r="D30" i="17"/>
  <c r="C34" i="17"/>
  <c r="O87" i="40" l="1"/>
  <c r="I100" i="49"/>
  <c r="E32" i="2"/>
  <c r="O87" i="4"/>
  <c r="O87" i="42"/>
  <c r="I17" i="13"/>
  <c r="O87" i="13"/>
  <c r="J100" i="49"/>
  <c r="N88" i="48"/>
  <c r="I100" i="48"/>
  <c r="J100" i="48" s="1"/>
  <c r="J99" i="49"/>
  <c r="N99" i="49"/>
  <c r="O99" i="49" s="1"/>
  <c r="P99" i="49" s="1"/>
  <c r="E25" i="1"/>
  <c r="E26" i="1" s="1"/>
  <c r="F53" i="1" s="1"/>
  <c r="M17" i="49"/>
  <c r="N17" i="49" s="1"/>
  <c r="I17" i="49"/>
  <c r="K17" i="49"/>
  <c r="L17" i="49" s="1"/>
  <c r="M89" i="47"/>
  <c r="D102" i="49"/>
  <c r="B102" i="49" s="1"/>
  <c r="G101" i="49"/>
  <c r="H101" i="48"/>
  <c r="I101" i="48"/>
  <c r="E102" i="48"/>
  <c r="F102" i="48" s="1"/>
  <c r="B102" i="48"/>
  <c r="E18" i="49"/>
  <c r="F18" i="49" s="1"/>
  <c r="E19" i="49" s="1"/>
  <c r="E18" i="47"/>
  <c r="M89" i="49"/>
  <c r="N89" i="47"/>
  <c r="O87" i="49"/>
  <c r="O87" i="47"/>
  <c r="N89" i="49"/>
  <c r="O88" i="49"/>
  <c r="O87" i="29"/>
  <c r="O87" i="30"/>
  <c r="O87" i="24"/>
  <c r="O87" i="27"/>
  <c r="O87" i="8"/>
  <c r="O87" i="31"/>
  <c r="O87" i="6"/>
  <c r="O87" i="38"/>
  <c r="B101" i="13"/>
  <c r="F101" i="13"/>
  <c r="G101" i="13" s="1"/>
  <c r="E33" i="2"/>
  <c r="E37" i="2" s="1"/>
  <c r="F54" i="2" s="1"/>
  <c r="F53" i="2"/>
  <c r="G100" i="13"/>
  <c r="H100" i="13" s="1"/>
  <c r="B19" i="45"/>
  <c r="K18" i="45"/>
  <c r="B18" i="13"/>
  <c r="E18" i="13"/>
  <c r="F18" i="13" s="1"/>
  <c r="D19" i="13" s="1"/>
  <c r="B23" i="27"/>
  <c r="D99" i="7"/>
  <c r="O87" i="46"/>
  <c r="B20" i="37"/>
  <c r="I17" i="46"/>
  <c r="I19" i="37"/>
  <c r="M18" i="45"/>
  <c r="B31" i="10"/>
  <c r="I30" i="10"/>
  <c r="E30" i="1"/>
  <c r="E33" i="1" s="1"/>
  <c r="J99" i="13"/>
  <c r="I48" i="17"/>
  <c r="I46" i="17"/>
  <c r="O88" i="48" l="1"/>
  <c r="L18" i="45"/>
  <c r="M87" i="45"/>
  <c r="N18" i="45"/>
  <c r="N87" i="45"/>
  <c r="O17" i="49"/>
  <c r="N99" i="48"/>
  <c r="O99" i="48" s="1"/>
  <c r="P99" i="48" s="1"/>
  <c r="J99" i="48"/>
  <c r="E102" i="49"/>
  <c r="F102" i="49" s="1"/>
  <c r="G102" i="49" s="1"/>
  <c r="V46" i="17"/>
  <c r="H101" i="49"/>
  <c r="I101" i="49"/>
  <c r="G102" i="48"/>
  <c r="D103" i="48"/>
  <c r="J101" i="48"/>
  <c r="O89" i="49"/>
  <c r="D18" i="48"/>
  <c r="E18" i="48" s="1"/>
  <c r="H18" i="49"/>
  <c r="N6" i="49" s="1"/>
  <c r="D19" i="49"/>
  <c r="G18" i="49"/>
  <c r="N5" i="49" s="1"/>
  <c r="V47" i="17"/>
  <c r="V48" i="17"/>
  <c r="O89" i="47"/>
  <c r="E37" i="1"/>
  <c r="F54" i="1" s="1"/>
  <c r="F55" i="1" s="1"/>
  <c r="O18" i="45"/>
  <c r="I18" i="45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H18" i="13"/>
  <c r="I18" i="46"/>
  <c r="E19" i="13"/>
  <c r="F19" i="13" s="1"/>
  <c r="B19" i="13"/>
  <c r="B30" i="9"/>
  <c r="B19" i="46"/>
  <c r="I29" i="9"/>
  <c r="I17" i="45"/>
  <c r="I20" i="37"/>
  <c r="H101" i="13"/>
  <c r="I101" i="13"/>
  <c r="E48" i="17"/>
  <c r="N7" i="49" l="1"/>
  <c r="O87" i="45"/>
  <c r="D103" i="49"/>
  <c r="B103" i="49" s="1"/>
  <c r="K17" i="47"/>
  <c r="L17" i="47" s="1"/>
  <c r="K17" i="48"/>
  <c r="I18" i="49"/>
  <c r="E103" i="48"/>
  <c r="F103" i="48" s="1"/>
  <c r="B103" i="48"/>
  <c r="I102" i="48"/>
  <c r="H102" i="48"/>
  <c r="J101" i="49"/>
  <c r="I102" i="49"/>
  <c r="H102" i="49"/>
  <c r="F18" i="47"/>
  <c r="G18" i="47" s="1"/>
  <c r="N5" i="47" s="1"/>
  <c r="B18" i="47"/>
  <c r="I18" i="13"/>
  <c r="B18" i="48"/>
  <c r="F18" i="48"/>
  <c r="G18" i="48" s="1"/>
  <c r="M17" i="47"/>
  <c r="N17" i="47" s="1"/>
  <c r="I17" i="47"/>
  <c r="F19" i="49"/>
  <c r="H19" i="49" s="1"/>
  <c r="B19" i="49"/>
  <c r="I17" i="48"/>
  <c r="M17" i="48"/>
  <c r="I19" i="44"/>
  <c r="E102" i="13"/>
  <c r="F102" i="13" s="1"/>
  <c r="B20" i="44"/>
  <c r="G19" i="13"/>
  <c r="D20" i="13"/>
  <c r="H19" i="13"/>
  <c r="I23" i="27"/>
  <c r="B24" i="27"/>
  <c r="B28" i="5"/>
  <c r="I19" i="38"/>
  <c r="B23" i="31"/>
  <c r="I26" i="25"/>
  <c r="I24" i="24"/>
  <c r="B19" i="41"/>
  <c r="I28" i="6"/>
  <c r="I28" i="8"/>
  <c r="I29" i="11"/>
  <c r="I27" i="5"/>
  <c r="I19" i="39"/>
  <c r="I22" i="29"/>
  <c r="I27" i="3"/>
  <c r="I18" i="42"/>
  <c r="B23" i="28"/>
  <c r="B22" i="30"/>
  <c r="D20" i="46"/>
  <c r="E20" i="46" s="1"/>
  <c r="I26" i="22"/>
  <c r="B25" i="24"/>
  <c r="I25" i="23"/>
  <c r="I18" i="41"/>
  <c r="I17" i="43"/>
  <c r="I30" i="7"/>
  <c r="B20" i="39"/>
  <c r="B19" i="40"/>
  <c r="B19" i="42"/>
  <c r="B32" i="10"/>
  <c r="B28" i="4"/>
  <c r="B18" i="43"/>
  <c r="B29" i="6"/>
  <c r="B27" i="25"/>
  <c r="B26" i="23"/>
  <c r="I27" i="4"/>
  <c r="B21" i="37"/>
  <c r="B31" i="7"/>
  <c r="B29" i="8"/>
  <c r="B30" i="11"/>
  <c r="F62" i="1"/>
  <c r="F65" i="1" s="1"/>
  <c r="F67" i="1" s="1"/>
  <c r="F69" i="1" s="1"/>
  <c r="F76" i="1"/>
  <c r="F77" i="1" s="1"/>
  <c r="B23" i="29"/>
  <c r="B28" i="3"/>
  <c r="I18" i="40"/>
  <c r="I31" i="10"/>
  <c r="I22" i="28"/>
  <c r="B20" i="38"/>
  <c r="B27" i="22"/>
  <c r="I22" i="31"/>
  <c r="I21" i="30"/>
  <c r="F59" i="2"/>
  <c r="F79" i="2" s="1"/>
  <c r="F80" i="2" s="1"/>
  <c r="F82" i="2" s="1"/>
  <c r="F76" i="2"/>
  <c r="F77" i="2" s="1"/>
  <c r="J101" i="13"/>
  <c r="E46" i="17"/>
  <c r="F48" i="17"/>
  <c r="G48" i="17" l="1"/>
  <c r="N17" i="48"/>
  <c r="N87" i="48"/>
  <c r="L17" i="48"/>
  <c r="M87" i="48"/>
  <c r="E103" i="49"/>
  <c r="F103" i="49" s="1"/>
  <c r="O17" i="47"/>
  <c r="H18" i="48"/>
  <c r="I18" i="48" s="1"/>
  <c r="J102" i="48"/>
  <c r="J102" i="49"/>
  <c r="D104" i="48"/>
  <c r="B104" i="48" s="1"/>
  <c r="G103" i="48"/>
  <c r="D20" i="49"/>
  <c r="E20" i="49"/>
  <c r="G19" i="49"/>
  <c r="I19" i="49" s="1"/>
  <c r="D19" i="48"/>
  <c r="E19" i="48" s="1"/>
  <c r="H18" i="47"/>
  <c r="E19" i="47"/>
  <c r="B20" i="45"/>
  <c r="I19" i="45"/>
  <c r="D21" i="44"/>
  <c r="I19" i="13"/>
  <c r="E20" i="13"/>
  <c r="F20" i="13" s="1"/>
  <c r="B20" i="13"/>
  <c r="I18" i="43"/>
  <c r="I20" i="38"/>
  <c r="I20" i="39"/>
  <c r="F70" i="1"/>
  <c r="F71" i="1" s="1"/>
  <c r="F56" i="1" s="1"/>
  <c r="F57" i="1" s="1"/>
  <c r="F59" i="1" s="1"/>
  <c r="F79" i="1" s="1"/>
  <c r="F80" i="1" s="1"/>
  <c r="F82" i="1" s="1"/>
  <c r="I19" i="46"/>
  <c r="B31" i="9"/>
  <c r="I30" i="9"/>
  <c r="F20" i="46"/>
  <c r="H20" i="46" s="1"/>
  <c r="N6" i="46" s="1"/>
  <c r="B20" i="46"/>
  <c r="D21" i="45"/>
  <c r="E21" i="45" s="1"/>
  <c r="G102" i="13"/>
  <c r="D103" i="13"/>
  <c r="I18" i="47" l="1"/>
  <c r="N6" i="47"/>
  <c r="N7" i="47" s="1"/>
  <c r="O17" i="48"/>
  <c r="M89" i="48"/>
  <c r="N17" i="2"/>
  <c r="N29" i="2" s="1"/>
  <c r="O87" i="48"/>
  <c r="O89" i="48" s="1"/>
  <c r="N89" i="48"/>
  <c r="O17" i="2"/>
  <c r="D104" i="49"/>
  <c r="G103" i="49"/>
  <c r="E104" i="48"/>
  <c r="F104" i="48" s="1"/>
  <c r="D105" i="48" s="1"/>
  <c r="B105" i="48" s="1"/>
  <c r="I20" i="45"/>
  <c r="I103" i="48"/>
  <c r="H103" i="48"/>
  <c r="F19" i="47"/>
  <c r="G19" i="47" s="1"/>
  <c r="B19" i="47"/>
  <c r="F19" i="48"/>
  <c r="B19" i="48"/>
  <c r="F20" i="49"/>
  <c r="B20" i="49"/>
  <c r="I20" i="44"/>
  <c r="E21" i="44"/>
  <c r="F21" i="44" s="1"/>
  <c r="B21" i="44"/>
  <c r="G20" i="46"/>
  <c r="D21" i="13"/>
  <c r="H20" i="13"/>
  <c r="G20" i="13"/>
  <c r="B25" i="27"/>
  <c r="I24" i="27"/>
  <c r="B20" i="41"/>
  <c r="B24" i="29"/>
  <c r="I31" i="7"/>
  <c r="I29" i="8"/>
  <c r="B29" i="5"/>
  <c r="F21" i="45"/>
  <c r="G21" i="45" s="1"/>
  <c r="N5" i="45" s="1"/>
  <c r="B21" i="45"/>
  <c r="B33" i="10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B24" i="31"/>
  <c r="B21" i="39"/>
  <c r="B27" i="23"/>
  <c r="B23" i="30"/>
  <c r="B20" i="42"/>
  <c r="B29" i="4"/>
  <c r="B32" i="7"/>
  <c r="B22" i="37"/>
  <c r="I28" i="5"/>
  <c r="D21" i="46"/>
  <c r="E21" i="46" s="1"/>
  <c r="I32" i="10"/>
  <c r="B28" i="25"/>
  <c r="B31" i="11"/>
  <c r="B20" i="40"/>
  <c r="I29" i="6"/>
  <c r="I23" i="29"/>
  <c r="B24" i="28"/>
  <c r="B29" i="3"/>
  <c r="B21" i="38"/>
  <c r="I27" i="22"/>
  <c r="I19" i="40"/>
  <c r="I21" i="37"/>
  <c r="B103" i="13"/>
  <c r="E103" i="13"/>
  <c r="F103" i="13" s="1"/>
  <c r="I102" i="13"/>
  <c r="H102" i="13"/>
  <c r="F46" i="17"/>
  <c r="E44" i="17"/>
  <c r="G46" i="17" l="1"/>
  <c r="I20" i="46"/>
  <c r="N5" i="46"/>
  <c r="P17" i="2"/>
  <c r="G104" i="48"/>
  <c r="I104" i="48" s="1"/>
  <c r="H103" i="49"/>
  <c r="I103" i="49"/>
  <c r="J103" i="49" s="1"/>
  <c r="B104" i="49"/>
  <c r="E104" i="49"/>
  <c r="F104" i="49" s="1"/>
  <c r="J103" i="48"/>
  <c r="E105" i="48"/>
  <c r="F105" i="48" s="1"/>
  <c r="H19" i="48"/>
  <c r="N6" i="48" s="1"/>
  <c r="D20" i="48"/>
  <c r="E20" i="48" s="1"/>
  <c r="D21" i="49"/>
  <c r="E21" i="49"/>
  <c r="G20" i="49"/>
  <c r="G19" i="48"/>
  <c r="N5" i="48" s="1"/>
  <c r="H20" i="49"/>
  <c r="H19" i="47"/>
  <c r="I19" i="47" s="1"/>
  <c r="E20" i="47"/>
  <c r="H21" i="44"/>
  <c r="N6" i="44" s="1"/>
  <c r="D22" i="44"/>
  <c r="G21" i="44"/>
  <c r="N5" i="44" s="1"/>
  <c r="I20" i="13"/>
  <c r="E21" i="13"/>
  <c r="F21" i="13" s="1"/>
  <c r="G21" i="13" s="1"/>
  <c r="B21" i="13"/>
  <c r="F21" i="46"/>
  <c r="H21" i="46" s="1"/>
  <c r="B21" i="46"/>
  <c r="B32" i="9"/>
  <c r="D34" i="10"/>
  <c r="E34" i="10"/>
  <c r="E23" i="37"/>
  <c r="D23" i="37"/>
  <c r="D22" i="45"/>
  <c r="E22" i="45" s="1"/>
  <c r="I31" i="9"/>
  <c r="H21" i="45"/>
  <c r="N6" i="45" s="1"/>
  <c r="N7" i="45" s="1"/>
  <c r="G103" i="13"/>
  <c r="D104" i="13"/>
  <c r="E104" i="13" s="1"/>
  <c r="J102" i="13"/>
  <c r="E47" i="17"/>
  <c r="E43" i="17"/>
  <c r="F44" i="17"/>
  <c r="E45" i="17"/>
  <c r="N7" i="44" l="1"/>
  <c r="N7" i="46"/>
  <c r="H104" i="48"/>
  <c r="N7" i="48"/>
  <c r="J104" i="48"/>
  <c r="G104" i="49"/>
  <c r="D105" i="49"/>
  <c r="B105" i="49" s="1"/>
  <c r="I20" i="49"/>
  <c r="G44" i="17"/>
  <c r="I22" i="37"/>
  <c r="I19" i="48"/>
  <c r="G105" i="48"/>
  <c r="D106" i="48"/>
  <c r="B106" i="48" s="1"/>
  <c r="B21" i="49"/>
  <c r="F21" i="49"/>
  <c r="B20" i="47"/>
  <c r="F20" i="47"/>
  <c r="G20" i="47" s="1"/>
  <c r="F20" i="48"/>
  <c r="B20" i="48"/>
  <c r="I20" i="41"/>
  <c r="I20" i="40"/>
  <c r="I20" i="42"/>
  <c r="E22" i="44"/>
  <c r="F22" i="44" s="1"/>
  <c r="B22" i="44"/>
  <c r="I21" i="44"/>
  <c r="H21" i="13"/>
  <c r="D22" i="13"/>
  <c r="I25" i="27"/>
  <c r="B26" i="27"/>
  <c r="B31" i="6"/>
  <c r="B25" i="31"/>
  <c r="B25" i="28"/>
  <c r="I21" i="45"/>
  <c r="I30" i="6"/>
  <c r="I28" i="22"/>
  <c r="I24" i="31"/>
  <c r="I29" i="4"/>
  <c r="B30" i="3"/>
  <c r="I30" i="8"/>
  <c r="B22" i="39"/>
  <c r="F23" i="37"/>
  <c r="H23" i="37" s="1"/>
  <c r="N6" i="37" s="1"/>
  <c r="B23" i="37"/>
  <c r="D33" i="9"/>
  <c r="E33" i="9"/>
  <c r="B30" i="4"/>
  <c r="I28" i="25"/>
  <c r="B21" i="40"/>
  <c r="B22" i="45"/>
  <c r="F22" i="45"/>
  <c r="H22" i="45" s="1"/>
  <c r="B24" i="30"/>
  <c r="B21" i="41"/>
  <c r="F34" i="10"/>
  <c r="B34" i="10"/>
  <c r="B27" i="24"/>
  <c r="I21" i="39"/>
  <c r="B28" i="23"/>
  <c r="B21" i="42"/>
  <c r="I24" i="29"/>
  <c r="I31" i="11"/>
  <c r="B22" i="38"/>
  <c r="B29" i="22"/>
  <c r="B33" i="7"/>
  <c r="I21" i="38"/>
  <c r="I27" i="23"/>
  <c r="D22" i="46"/>
  <c r="B25" i="29"/>
  <c r="I19" i="43"/>
  <c r="B32" i="11"/>
  <c r="I29" i="5"/>
  <c r="B30" i="5"/>
  <c r="I32" i="7"/>
  <c r="B29" i="25"/>
  <c r="I23" i="30"/>
  <c r="I33" i="10"/>
  <c r="I26" i="24"/>
  <c r="B20" i="43"/>
  <c r="G21" i="46"/>
  <c r="I21" i="46" s="1"/>
  <c r="I24" i="28"/>
  <c r="I29" i="3"/>
  <c r="B31" i="8"/>
  <c r="I103" i="13"/>
  <c r="H103" i="13"/>
  <c r="F104" i="13"/>
  <c r="B104" i="13"/>
  <c r="F43" i="17"/>
  <c r="F47" i="17"/>
  <c r="F45" i="17"/>
  <c r="G43" i="17" l="1"/>
  <c r="G45" i="17"/>
  <c r="E105" i="49"/>
  <c r="F105" i="49" s="1"/>
  <c r="G105" i="49" s="1"/>
  <c r="I105" i="49" s="1"/>
  <c r="G47" i="17"/>
  <c r="I104" i="49"/>
  <c r="H104" i="49"/>
  <c r="E106" i="48"/>
  <c r="F106" i="48" s="1"/>
  <c r="D107" i="48" s="1"/>
  <c r="G106" i="48"/>
  <c r="I105" i="48"/>
  <c r="H105" i="48"/>
  <c r="H20" i="48"/>
  <c r="D21" i="48"/>
  <c r="E21" i="48"/>
  <c r="H21" i="49"/>
  <c r="D22" i="49"/>
  <c r="E22" i="49"/>
  <c r="G20" i="48"/>
  <c r="H20" i="47"/>
  <c r="I20" i="47" s="1"/>
  <c r="D21" i="47"/>
  <c r="E21" i="47" s="1"/>
  <c r="G21" i="49"/>
  <c r="I21" i="13"/>
  <c r="G22" i="44"/>
  <c r="D23" i="44"/>
  <c r="H22" i="44"/>
  <c r="B22" i="13"/>
  <c r="E22" i="13"/>
  <c r="F22" i="13" s="1"/>
  <c r="D27" i="27"/>
  <c r="E27" i="27"/>
  <c r="D26" i="29"/>
  <c r="E26" i="29"/>
  <c r="D30" i="22"/>
  <c r="E30" i="22"/>
  <c r="F33" i="9"/>
  <c r="B33" i="9"/>
  <c r="D26" i="28"/>
  <c r="E26" i="28"/>
  <c r="G22" i="45"/>
  <c r="I22" i="45" s="1"/>
  <c r="I32" i="9"/>
  <c r="D24" i="37"/>
  <c r="E24" i="37"/>
  <c r="D23" i="39"/>
  <c r="E23" i="39"/>
  <c r="D26" i="31"/>
  <c r="E26" i="31"/>
  <c r="D32" i="6"/>
  <c r="E32" i="6"/>
  <c r="D33" i="11"/>
  <c r="E33" i="11"/>
  <c r="B22" i="46"/>
  <c r="D31" i="4"/>
  <c r="E31" i="4"/>
  <c r="D31" i="3"/>
  <c r="E31" i="3"/>
  <c r="D34" i="7"/>
  <c r="E34" i="7"/>
  <c r="E35" i="10"/>
  <c r="H34" i="10"/>
  <c r="N6" i="10" s="1"/>
  <c r="D35" i="10"/>
  <c r="G34" i="10"/>
  <c r="N5" i="10" s="1"/>
  <c r="D22" i="41"/>
  <c r="E22" i="41"/>
  <c r="D22" i="40"/>
  <c r="E22" i="40"/>
  <c r="G23" i="37"/>
  <c r="D31" i="5"/>
  <c r="E31" i="5"/>
  <c r="D28" i="24"/>
  <c r="E28" i="24"/>
  <c r="D32" i="8"/>
  <c r="E32" i="8"/>
  <c r="D30" i="25"/>
  <c r="E30" i="25"/>
  <c r="E22" i="46"/>
  <c r="F22" i="46" s="1"/>
  <c r="D23" i="38"/>
  <c r="E23" i="38"/>
  <c r="D22" i="42"/>
  <c r="E22" i="42"/>
  <c r="D29" i="23"/>
  <c r="E29" i="23"/>
  <c r="D25" i="30"/>
  <c r="E25" i="30"/>
  <c r="D23" i="45"/>
  <c r="E23" i="45" s="1"/>
  <c r="J103" i="13"/>
  <c r="G104" i="13"/>
  <c r="D105" i="13"/>
  <c r="E105" i="13" s="1"/>
  <c r="E25" i="17"/>
  <c r="H105" i="49" l="1"/>
  <c r="J105" i="49" s="1"/>
  <c r="N7" i="10"/>
  <c r="I23" i="37"/>
  <c r="N5" i="37"/>
  <c r="D106" i="49"/>
  <c r="B106" i="49" s="1"/>
  <c r="J104" i="49"/>
  <c r="J105" i="48"/>
  <c r="I20" i="48"/>
  <c r="I21" i="40"/>
  <c r="I22" i="38"/>
  <c r="I21" i="41"/>
  <c r="I21" i="42"/>
  <c r="I22" i="39"/>
  <c r="E107" i="48"/>
  <c r="F107" i="48" s="1"/>
  <c r="B107" i="48"/>
  <c r="H106" i="48"/>
  <c r="I106" i="48"/>
  <c r="F21" i="47"/>
  <c r="G21" i="47" s="1"/>
  <c r="B21" i="47"/>
  <c r="F21" i="48"/>
  <c r="H21" i="48" s="1"/>
  <c r="B21" i="48"/>
  <c r="I21" i="49"/>
  <c r="F22" i="49"/>
  <c r="G22" i="49" s="1"/>
  <c r="B22" i="49"/>
  <c r="I20" i="43"/>
  <c r="I22" i="44"/>
  <c r="E23" i="44"/>
  <c r="F23" i="44" s="1"/>
  <c r="B23" i="44"/>
  <c r="G22" i="13"/>
  <c r="H22" i="13"/>
  <c r="D23" i="13"/>
  <c r="B23" i="13" s="1"/>
  <c r="I26" i="27"/>
  <c r="B27" i="27"/>
  <c r="F27" i="27"/>
  <c r="D23" i="46"/>
  <c r="E23" i="46" s="1"/>
  <c r="G22" i="46"/>
  <c r="H22" i="46"/>
  <c r="B28" i="24"/>
  <c r="F28" i="24"/>
  <c r="I32" i="11"/>
  <c r="B26" i="29"/>
  <c r="F26" i="29"/>
  <c r="B22" i="42"/>
  <c r="F22" i="42"/>
  <c r="H22" i="42" s="1"/>
  <c r="N6" i="42" s="1"/>
  <c r="B30" i="25"/>
  <c r="F30" i="25"/>
  <c r="B32" i="8"/>
  <c r="F32" i="8"/>
  <c r="B22" i="40"/>
  <c r="F22" i="40"/>
  <c r="H22" i="40" s="1"/>
  <c r="N6" i="40" s="1"/>
  <c r="B35" i="10"/>
  <c r="F35" i="10"/>
  <c r="B21" i="43"/>
  <c r="B32" i="6"/>
  <c r="F32" i="6"/>
  <c r="B24" i="37"/>
  <c r="F24" i="37"/>
  <c r="G24" i="37" s="1"/>
  <c r="F26" i="28"/>
  <c r="B26" i="28"/>
  <c r="D34" i="9"/>
  <c r="H33" i="9"/>
  <c r="N6" i="9" s="1"/>
  <c r="G33" i="9"/>
  <c r="N5" i="9" s="1"/>
  <c r="E34" i="9"/>
  <c r="F25" i="30"/>
  <c r="B25" i="30"/>
  <c r="I28" i="23"/>
  <c r="B23" i="38"/>
  <c r="F23" i="38"/>
  <c r="G23" i="38" s="1"/>
  <c r="N5" i="38" s="1"/>
  <c r="F31" i="5"/>
  <c r="B31" i="5"/>
  <c r="I34" i="10"/>
  <c r="I30" i="4"/>
  <c r="F33" i="11"/>
  <c r="B33" i="11"/>
  <c r="I31" i="6"/>
  <c r="B26" i="31"/>
  <c r="F26" i="31"/>
  <c r="F23" i="39"/>
  <c r="B23" i="39"/>
  <c r="I29" i="22"/>
  <c r="I31" i="8"/>
  <c r="I33" i="7"/>
  <c r="B31" i="3"/>
  <c r="F31" i="3"/>
  <c r="I25" i="31"/>
  <c r="F30" i="22"/>
  <c r="B30" i="22"/>
  <c r="F23" i="45"/>
  <c r="H23" i="45" s="1"/>
  <c r="B23" i="45"/>
  <c r="I24" i="30"/>
  <c r="B29" i="23"/>
  <c r="F29" i="23"/>
  <c r="I29" i="25"/>
  <c r="I27" i="24"/>
  <c r="I30" i="5"/>
  <c r="B22" i="41"/>
  <c r="F22" i="41"/>
  <c r="B34" i="7"/>
  <c r="F34" i="7"/>
  <c r="I30" i="3"/>
  <c r="F31" i="4"/>
  <c r="B31" i="4"/>
  <c r="I25" i="28"/>
  <c r="I25" i="29"/>
  <c r="H104" i="13"/>
  <c r="I104" i="13"/>
  <c r="B105" i="13"/>
  <c r="F105" i="13"/>
  <c r="E36" i="17"/>
  <c r="E37" i="17"/>
  <c r="F25" i="17"/>
  <c r="E24" i="17"/>
  <c r="G25" i="17" l="1"/>
  <c r="N7" i="9"/>
  <c r="N7" i="37"/>
  <c r="E106" i="49"/>
  <c r="F106" i="49" s="1"/>
  <c r="D107" i="49" s="1"/>
  <c r="J106" i="48"/>
  <c r="G21" i="48"/>
  <c r="I21" i="48" s="1"/>
  <c r="H21" i="47"/>
  <c r="I21" i="47" s="1"/>
  <c r="G107" i="48"/>
  <c r="D108" i="48"/>
  <c r="B108" i="48" s="1"/>
  <c r="D23" i="49"/>
  <c r="E23" i="49"/>
  <c r="H22" i="49"/>
  <c r="I22" i="49" s="1"/>
  <c r="D22" i="48"/>
  <c r="E22" i="48"/>
  <c r="D22" i="47"/>
  <c r="E22" i="47" s="1"/>
  <c r="E23" i="13"/>
  <c r="F23" i="13" s="1"/>
  <c r="H23" i="13" s="1"/>
  <c r="N6" i="13" s="1"/>
  <c r="I22" i="46"/>
  <c r="H23" i="44"/>
  <c r="D24" i="44"/>
  <c r="G23" i="44"/>
  <c r="H23" i="38"/>
  <c r="I22" i="13"/>
  <c r="G22" i="42"/>
  <c r="H24" i="37"/>
  <c r="I24" i="37" s="1"/>
  <c r="D28" i="27"/>
  <c r="G27" i="27"/>
  <c r="N5" i="27" s="1"/>
  <c r="E28" i="27"/>
  <c r="H27" i="27"/>
  <c r="N6" i="27" s="1"/>
  <c r="D24" i="39"/>
  <c r="E24" i="39"/>
  <c r="D35" i="7"/>
  <c r="G34" i="7"/>
  <c r="N5" i="7" s="1"/>
  <c r="H34" i="7"/>
  <c r="N6" i="7" s="1"/>
  <c r="E35" i="7"/>
  <c r="G29" i="23"/>
  <c r="N5" i="23" s="1"/>
  <c r="H29" i="23"/>
  <c r="N6" i="23" s="1"/>
  <c r="D30" i="23"/>
  <c r="E30" i="23"/>
  <c r="G31" i="3"/>
  <c r="N5" i="3" s="1"/>
  <c r="H31" i="3"/>
  <c r="N6" i="3" s="1"/>
  <c r="D32" i="3"/>
  <c r="E32" i="3"/>
  <c r="G23" i="39"/>
  <c r="N5" i="39" s="1"/>
  <c r="D27" i="31"/>
  <c r="G26" i="31"/>
  <c r="N5" i="31" s="1"/>
  <c r="H26" i="31"/>
  <c r="N6" i="31" s="1"/>
  <c r="E27" i="31"/>
  <c r="D24" i="38"/>
  <c r="E24" i="38"/>
  <c r="G32" i="6"/>
  <c r="N5" i="6" s="1"/>
  <c r="H32" i="6"/>
  <c r="N6" i="6" s="1"/>
  <c r="N7" i="6" s="1"/>
  <c r="D33" i="6"/>
  <c r="E33" i="6"/>
  <c r="D22" i="43"/>
  <c r="E22" i="43"/>
  <c r="G22" i="40"/>
  <c r="H32" i="8"/>
  <c r="N6" i="8" s="1"/>
  <c r="D33" i="8"/>
  <c r="G32" i="8"/>
  <c r="N5" i="8" s="1"/>
  <c r="E33" i="8"/>
  <c r="D23" i="42"/>
  <c r="E23" i="42"/>
  <c r="G26" i="29"/>
  <c r="N5" i="29" s="1"/>
  <c r="H26" i="29"/>
  <c r="N6" i="29" s="1"/>
  <c r="D27" i="29"/>
  <c r="E27" i="29"/>
  <c r="D29" i="24"/>
  <c r="G28" i="24"/>
  <c r="N5" i="24" s="1"/>
  <c r="H28" i="24"/>
  <c r="N6" i="24" s="1"/>
  <c r="E29" i="24"/>
  <c r="D23" i="41"/>
  <c r="E23" i="41"/>
  <c r="D24" i="45"/>
  <c r="F34" i="9"/>
  <c r="B34" i="9"/>
  <c r="H31" i="4"/>
  <c r="N6" i="4" s="1"/>
  <c r="D32" i="4"/>
  <c r="G31" i="4"/>
  <c r="N5" i="4" s="1"/>
  <c r="E32" i="4"/>
  <c r="H22" i="41"/>
  <c r="N6" i="41" s="1"/>
  <c r="G23" i="45"/>
  <c r="I23" i="45" s="1"/>
  <c r="D31" i="22"/>
  <c r="G30" i="22"/>
  <c r="N5" i="22" s="1"/>
  <c r="H30" i="22"/>
  <c r="N6" i="22" s="1"/>
  <c r="E31" i="22"/>
  <c r="D34" i="11"/>
  <c r="G33" i="11"/>
  <c r="N5" i="11" s="1"/>
  <c r="H33" i="11"/>
  <c r="N6" i="11" s="1"/>
  <c r="E34" i="11"/>
  <c r="G31" i="5"/>
  <c r="N5" i="5" s="1"/>
  <c r="D32" i="5"/>
  <c r="H31" i="5"/>
  <c r="N6" i="5" s="1"/>
  <c r="N7" i="5" s="1"/>
  <c r="E32" i="5"/>
  <c r="G25" i="30"/>
  <c r="N5" i="30" s="1"/>
  <c r="D26" i="30"/>
  <c r="H25" i="30"/>
  <c r="N6" i="30" s="1"/>
  <c r="N7" i="30" s="1"/>
  <c r="E26" i="30"/>
  <c r="G26" i="28"/>
  <c r="N5" i="28" s="1"/>
  <c r="D27" i="28"/>
  <c r="H26" i="28"/>
  <c r="N6" i="28" s="1"/>
  <c r="N7" i="28" s="1"/>
  <c r="E27" i="28"/>
  <c r="D25" i="37"/>
  <c r="E25" i="37"/>
  <c r="F23" i="46"/>
  <c r="G23" i="46" s="1"/>
  <c r="B23" i="46"/>
  <c r="G22" i="41"/>
  <c r="N5" i="41" s="1"/>
  <c r="H23" i="39"/>
  <c r="N6" i="39" s="1"/>
  <c r="N7" i="39" s="1"/>
  <c r="I33" i="9"/>
  <c r="H35" i="10"/>
  <c r="G35" i="10"/>
  <c r="D36" i="10"/>
  <c r="E36" i="10"/>
  <c r="D23" i="40"/>
  <c r="E23" i="40"/>
  <c r="H30" i="25"/>
  <c r="N6" i="25" s="1"/>
  <c r="D31" i="25"/>
  <c r="G30" i="25"/>
  <c r="N5" i="25" s="1"/>
  <c r="E31" i="25"/>
  <c r="J104" i="13"/>
  <c r="G105" i="13"/>
  <c r="D106" i="13"/>
  <c r="E106" i="13" s="1"/>
  <c r="E18" i="17"/>
  <c r="F24" i="17"/>
  <c r="E27" i="17"/>
  <c r="F34" i="17"/>
  <c r="E22" i="17"/>
  <c r="F36" i="17"/>
  <c r="E31" i="17"/>
  <c r="F38" i="17"/>
  <c r="E40" i="17"/>
  <c r="F21" i="17"/>
  <c r="E30" i="17"/>
  <c r="E38" i="17"/>
  <c r="E34" i="17"/>
  <c r="E20" i="17"/>
  <c r="E19" i="17"/>
  <c r="E29" i="17"/>
  <c r="E33" i="17"/>
  <c r="E35" i="17"/>
  <c r="F32" i="17"/>
  <c r="E21" i="17"/>
  <c r="E26" i="17"/>
  <c r="E28" i="17"/>
  <c r="F20" i="17"/>
  <c r="E23" i="17"/>
  <c r="E32" i="17"/>
  <c r="N7" i="25" l="1"/>
  <c r="G106" i="49"/>
  <c r="N7" i="4"/>
  <c r="N7" i="27"/>
  <c r="N7" i="11"/>
  <c r="N7" i="22"/>
  <c r="N7" i="3"/>
  <c r="N7" i="23"/>
  <c r="G24" i="17"/>
  <c r="N7" i="7"/>
  <c r="N7" i="41"/>
  <c r="G32" i="17"/>
  <c r="G34" i="17"/>
  <c r="G20" i="17"/>
  <c r="G21" i="17"/>
  <c r="G36" i="17"/>
  <c r="I22" i="42"/>
  <c r="N5" i="42"/>
  <c r="N7" i="31"/>
  <c r="N7" i="24"/>
  <c r="N7" i="8"/>
  <c r="I23" i="38"/>
  <c r="N6" i="38"/>
  <c r="N7" i="38" s="1"/>
  <c r="N7" i="29"/>
  <c r="I22" i="40"/>
  <c r="N5" i="40"/>
  <c r="E107" i="49"/>
  <c r="F107" i="49" s="1"/>
  <c r="B107" i="49"/>
  <c r="I106" i="49"/>
  <c r="H106" i="49"/>
  <c r="I21" i="43"/>
  <c r="G38" i="17"/>
  <c r="H107" i="48"/>
  <c r="I107" i="48"/>
  <c r="E108" i="48"/>
  <c r="F108" i="48" s="1"/>
  <c r="F22" i="47"/>
  <c r="G22" i="47" s="1"/>
  <c r="B22" i="47"/>
  <c r="B22" i="48"/>
  <c r="F22" i="48"/>
  <c r="G22" i="48" s="1"/>
  <c r="B23" i="49"/>
  <c r="F23" i="49"/>
  <c r="G23" i="49" s="1"/>
  <c r="G23" i="13"/>
  <c r="D24" i="13"/>
  <c r="I27" i="27"/>
  <c r="E24" i="44"/>
  <c r="F24" i="44" s="1"/>
  <c r="B24" i="44"/>
  <c r="I23" i="44"/>
  <c r="F28" i="27"/>
  <c r="B28" i="27"/>
  <c r="I23" i="39"/>
  <c r="B27" i="28"/>
  <c r="F27" i="28"/>
  <c r="G34" i="9"/>
  <c r="E35" i="9"/>
  <c r="D35" i="9"/>
  <c r="H34" i="9"/>
  <c r="B23" i="41"/>
  <c r="F23" i="41"/>
  <c r="G23" i="41" s="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F22" i="43"/>
  <c r="H22" i="43" s="1"/>
  <c r="N6" i="43" s="1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D24" i="46"/>
  <c r="E24" i="46" s="1"/>
  <c r="F26" i="30"/>
  <c r="B26" i="30"/>
  <c r="B29" i="24"/>
  <c r="F29" i="24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F27" i="31"/>
  <c r="B27" i="31"/>
  <c r="I31" i="3"/>
  <c r="I29" i="23"/>
  <c r="I105" i="13"/>
  <c r="N88" i="13" s="1"/>
  <c r="H105" i="13"/>
  <c r="M88" i="13" s="1"/>
  <c r="M89" i="13" s="1"/>
  <c r="B106" i="13"/>
  <c r="F106" i="13"/>
  <c r="F35" i="17"/>
  <c r="F31" i="17"/>
  <c r="F18" i="17"/>
  <c r="F23" i="17"/>
  <c r="F28" i="17"/>
  <c r="F29" i="17"/>
  <c r="F37" i="17"/>
  <c r="F26" i="17"/>
  <c r="F33" i="17"/>
  <c r="E41" i="17"/>
  <c r="F22" i="17"/>
  <c r="F40" i="17"/>
  <c r="F19" i="17"/>
  <c r="F30" i="17"/>
  <c r="E39" i="17"/>
  <c r="F27" i="17"/>
  <c r="G30" i="17" l="1"/>
  <c r="G31" i="17"/>
  <c r="G19" i="17"/>
  <c r="N19" i="1"/>
  <c r="N20" i="1" s="1"/>
  <c r="G28" i="17"/>
  <c r="G18" i="17"/>
  <c r="G27" i="17"/>
  <c r="G26" i="17"/>
  <c r="G40" i="17"/>
  <c r="G22" i="17"/>
  <c r="G33" i="17"/>
  <c r="G23" i="17"/>
  <c r="G29" i="17"/>
  <c r="G37" i="17"/>
  <c r="G35" i="17"/>
  <c r="R133" i="1"/>
  <c r="N7" i="42"/>
  <c r="I23" i="13"/>
  <c r="N5" i="13"/>
  <c r="N7" i="13" s="1"/>
  <c r="N7" i="40"/>
  <c r="O88" i="13"/>
  <c r="O89" i="13" s="1"/>
  <c r="N89" i="13"/>
  <c r="J106" i="49"/>
  <c r="G107" i="49"/>
  <c r="D108" i="49"/>
  <c r="J107" i="48"/>
  <c r="H23" i="49"/>
  <c r="I23" i="49" s="1"/>
  <c r="D109" i="48"/>
  <c r="G108" i="48"/>
  <c r="D24" i="49"/>
  <c r="E24" i="49"/>
  <c r="H22" i="48"/>
  <c r="I22" i="48" s="1"/>
  <c r="D23" i="48"/>
  <c r="E23" i="48"/>
  <c r="H22" i="47"/>
  <c r="I22" i="47" s="1"/>
  <c r="D23" i="47"/>
  <c r="E23" i="47" s="1"/>
  <c r="E24" i="13"/>
  <c r="F24" i="13" s="1"/>
  <c r="B24" i="13"/>
  <c r="H23" i="41"/>
  <c r="I23" i="41" s="1"/>
  <c r="G24" i="44"/>
  <c r="H24" i="44"/>
  <c r="D25" i="44"/>
  <c r="G25" i="37"/>
  <c r="I25" i="37" s="1"/>
  <c r="E29" i="27"/>
  <c r="H28" i="27"/>
  <c r="D29" i="27"/>
  <c r="G28" i="27"/>
  <c r="D25" i="45"/>
  <c r="G24" i="45"/>
  <c r="H24" i="45"/>
  <c r="D33" i="5"/>
  <c r="G32" i="5"/>
  <c r="H32" i="5"/>
  <c r="E33" i="5"/>
  <c r="D32" i="22"/>
  <c r="G31" i="22"/>
  <c r="H31" i="22"/>
  <c r="E32" i="22"/>
  <c r="D24" i="40"/>
  <c r="E24" i="40"/>
  <c r="D25" i="39"/>
  <c r="E25" i="39"/>
  <c r="D24" i="42"/>
  <c r="E24" i="42"/>
  <c r="H31" i="25"/>
  <c r="G31" i="25"/>
  <c r="D32" i="25"/>
  <c r="E32" i="25"/>
  <c r="D35" i="11"/>
  <c r="G34" i="11"/>
  <c r="H34" i="11"/>
  <c r="E35" i="11"/>
  <c r="I34" i="9"/>
  <c r="H27" i="28"/>
  <c r="D28" i="28"/>
  <c r="G27" i="28"/>
  <c r="E28" i="28"/>
  <c r="G27" i="31"/>
  <c r="H27" i="31"/>
  <c r="D28" i="31"/>
  <c r="E28" i="31"/>
  <c r="D25" i="38"/>
  <c r="E25" i="38"/>
  <c r="D34" i="6"/>
  <c r="G33" i="6"/>
  <c r="H33" i="6"/>
  <c r="E34" i="6"/>
  <c r="G26" i="30"/>
  <c r="D27" i="30"/>
  <c r="H26" i="30"/>
  <c r="E27" i="30"/>
  <c r="H24" i="39"/>
  <c r="D33" i="3"/>
  <c r="G32" i="3"/>
  <c r="H32" i="3"/>
  <c r="E33" i="3"/>
  <c r="G23" i="42"/>
  <c r="G27" i="29"/>
  <c r="D28" i="29"/>
  <c r="H27" i="29"/>
  <c r="E28" i="29"/>
  <c r="D23" i="43"/>
  <c r="E23" i="43"/>
  <c r="D34" i="8"/>
  <c r="G33" i="8"/>
  <c r="H33" i="8"/>
  <c r="E34" i="8"/>
  <c r="H35" i="7"/>
  <c r="D36" i="7"/>
  <c r="G35" i="7"/>
  <c r="E36" i="7"/>
  <c r="B35" i="9"/>
  <c r="F35" i="9"/>
  <c r="G24" i="38"/>
  <c r="I24" i="38" s="1"/>
  <c r="G23" i="40"/>
  <c r="I23" i="40" s="1"/>
  <c r="D30" i="24"/>
  <c r="H29" i="24"/>
  <c r="G29" i="24"/>
  <c r="E30" i="24"/>
  <c r="B24" i="46"/>
  <c r="F24" i="46"/>
  <c r="G24" i="46" s="1"/>
  <c r="D31" i="23"/>
  <c r="G30" i="23"/>
  <c r="H30" i="23"/>
  <c r="E31" i="23"/>
  <c r="H23" i="42"/>
  <c r="D33" i="4"/>
  <c r="H32" i="4"/>
  <c r="G32" i="4"/>
  <c r="E33" i="4"/>
  <c r="G22" i="43"/>
  <c r="D26" i="37"/>
  <c r="E26" i="37"/>
  <c r="E37" i="10"/>
  <c r="H36" i="10"/>
  <c r="D37" i="10"/>
  <c r="G36" i="10"/>
  <c r="D24" i="41"/>
  <c r="E24" i="41"/>
  <c r="D107" i="13"/>
  <c r="E107" i="13" s="1"/>
  <c r="G106" i="13"/>
  <c r="J105" i="13"/>
  <c r="F39" i="17"/>
  <c r="F41" i="17"/>
  <c r="G39" i="17" l="1"/>
  <c r="G41" i="17"/>
  <c r="I22" i="43"/>
  <c r="N5" i="43"/>
  <c r="B108" i="49"/>
  <c r="E108" i="49"/>
  <c r="F108" i="49" s="1"/>
  <c r="H107" i="49"/>
  <c r="I107" i="49"/>
  <c r="J107" i="49" s="1"/>
  <c r="E109" i="48"/>
  <c r="F109" i="48" s="1"/>
  <c r="B109" i="48"/>
  <c r="H108" i="48"/>
  <c r="I108" i="48"/>
  <c r="J108" i="48" s="1"/>
  <c r="B24" i="49"/>
  <c r="F24" i="49"/>
  <c r="H24" i="49" s="1"/>
  <c r="F23" i="48"/>
  <c r="H23" i="48" s="1"/>
  <c r="B23" i="48"/>
  <c r="F23" i="47"/>
  <c r="G23" i="47" s="1"/>
  <c r="B23" i="47"/>
  <c r="I24" i="44"/>
  <c r="G24" i="13"/>
  <c r="H24" i="13"/>
  <c r="D25" i="13"/>
  <c r="I31" i="22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B29" i="27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6" i="13"/>
  <c r="I106" i="13"/>
  <c r="F107" i="13"/>
  <c r="B107" i="13"/>
  <c r="E42" i="17"/>
  <c r="E51" i="17" l="1"/>
  <c r="N7" i="43"/>
  <c r="M19" i="1"/>
  <c r="D109" i="49"/>
  <c r="B109" i="49" s="1"/>
  <c r="G108" i="49"/>
  <c r="I24" i="13"/>
  <c r="G109" i="48"/>
  <c r="D110" i="48"/>
  <c r="B110" i="48" s="1"/>
  <c r="D25" i="49"/>
  <c r="E25" i="49"/>
  <c r="D24" i="47"/>
  <c r="E24" i="47" s="1"/>
  <c r="D24" i="48"/>
  <c r="E24" i="48" s="1"/>
  <c r="H23" i="47"/>
  <c r="I23" i="47" s="1"/>
  <c r="G23" i="48"/>
  <c r="I23" i="48" s="1"/>
  <c r="G24" i="49"/>
  <c r="I24" i="49" s="1"/>
  <c r="B25" i="13"/>
  <c r="E25" i="13"/>
  <c r="F25" i="13" s="1"/>
  <c r="D26" i="44"/>
  <c r="H25" i="44"/>
  <c r="G25" i="44"/>
  <c r="G24" i="40"/>
  <c r="I24" i="40" s="1"/>
  <c r="H24" i="42"/>
  <c r="I24" i="42" s="1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D37" i="7"/>
  <c r="G36" i="7"/>
  <c r="H36" i="7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I35" i="9"/>
  <c r="G26" i="37"/>
  <c r="G24" i="41"/>
  <c r="G32" i="25"/>
  <c r="D33" i="25"/>
  <c r="H32" i="25"/>
  <c r="E33" i="25"/>
  <c r="D35" i="8"/>
  <c r="G34" i="8"/>
  <c r="H34" i="8"/>
  <c r="E35" i="8"/>
  <c r="J106" i="13"/>
  <c r="G107" i="13"/>
  <c r="D108" i="13"/>
  <c r="E108" i="13" s="1"/>
  <c r="F42" i="17"/>
  <c r="E109" i="49" l="1"/>
  <c r="F109" i="49" s="1"/>
  <c r="F51" i="17"/>
  <c r="G42" i="17"/>
  <c r="G51" i="17" s="1"/>
  <c r="R132" i="1"/>
  <c r="M20" i="1"/>
  <c r="O19" i="1"/>
  <c r="D110" i="49"/>
  <c r="G109" i="49"/>
  <c r="E110" i="48"/>
  <c r="F110" i="48" s="1"/>
  <c r="G110" i="48" s="1"/>
  <c r="H108" i="49"/>
  <c r="I108" i="49"/>
  <c r="H109" i="48"/>
  <c r="I109" i="48"/>
  <c r="D111" i="48"/>
  <c r="B111" i="48" s="1"/>
  <c r="F24" i="48"/>
  <c r="G24" i="48" s="1"/>
  <c r="B24" i="48"/>
  <c r="F25" i="49"/>
  <c r="B25" i="49"/>
  <c r="F24" i="47"/>
  <c r="B24" i="47"/>
  <c r="D26" i="13"/>
  <c r="H25" i="13"/>
  <c r="G25" i="13"/>
  <c r="I36" i="7"/>
  <c r="I25" i="44"/>
  <c r="E26" i="44"/>
  <c r="F26" i="44" s="1"/>
  <c r="B26" i="44"/>
  <c r="I29" i="27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I32" i="25"/>
  <c r="F34" i="3"/>
  <c r="B34" i="3"/>
  <c r="I31" i="23"/>
  <c r="B35" i="6"/>
  <c r="F35" i="6"/>
  <c r="F28" i="30"/>
  <c r="B28" i="30"/>
  <c r="B37" i="7"/>
  <c r="F37" i="7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7" i="13"/>
  <c r="I107" i="13"/>
  <c r="B108" i="13"/>
  <c r="F108" i="13"/>
  <c r="R134" i="1" l="1"/>
  <c r="O20" i="1"/>
  <c r="F52" i="17"/>
  <c r="I109" i="49"/>
  <c r="H109" i="49"/>
  <c r="J108" i="49"/>
  <c r="B110" i="49"/>
  <c r="E110" i="49"/>
  <c r="F110" i="49" s="1"/>
  <c r="H110" i="48"/>
  <c r="I110" i="48"/>
  <c r="E111" i="48"/>
  <c r="F111" i="48" s="1"/>
  <c r="J109" i="48"/>
  <c r="G25" i="49"/>
  <c r="D26" i="49"/>
  <c r="E26" i="49"/>
  <c r="H24" i="47"/>
  <c r="D25" i="47"/>
  <c r="E25" i="47" s="1"/>
  <c r="H25" i="49"/>
  <c r="G24" i="47"/>
  <c r="H24" i="48"/>
  <c r="I24" i="48" s="1"/>
  <c r="D25" i="48"/>
  <c r="E25" i="48" s="1"/>
  <c r="I25" i="13"/>
  <c r="E26" i="13"/>
  <c r="F26" i="13" s="1"/>
  <c r="B26" i="13"/>
  <c r="H26" i="44"/>
  <c r="G26" i="44"/>
  <c r="D27" i="44"/>
  <c r="G26" i="38"/>
  <c r="I26" i="38" s="1"/>
  <c r="G26" i="39"/>
  <c r="I26" i="39" s="1"/>
  <c r="H30" i="27"/>
  <c r="E31" i="27"/>
  <c r="D31" i="27"/>
  <c r="G30" i="27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H27" i="37"/>
  <c r="G33" i="22"/>
  <c r="D34" i="22"/>
  <c r="H33" i="22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J107" i="13"/>
  <c r="G108" i="13"/>
  <c r="D109" i="13"/>
  <c r="E109" i="13" s="1"/>
  <c r="D111" i="49" l="1"/>
  <c r="G110" i="49"/>
  <c r="J109" i="49"/>
  <c r="I25" i="49"/>
  <c r="J110" i="48"/>
  <c r="D112" i="48"/>
  <c r="G111" i="48"/>
  <c r="F25" i="48"/>
  <c r="H25" i="48" s="1"/>
  <c r="B25" i="48"/>
  <c r="B26" i="49"/>
  <c r="F26" i="49"/>
  <c r="I24" i="47"/>
  <c r="F25" i="47"/>
  <c r="G25" i="47" s="1"/>
  <c r="B25" i="47"/>
  <c r="I26" i="44"/>
  <c r="G26" i="13"/>
  <c r="D27" i="13"/>
  <c r="H26" i="13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I24" i="43"/>
  <c r="I28" i="30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I108" i="13"/>
  <c r="H108" i="13"/>
  <c r="F109" i="13"/>
  <c r="B109" i="13"/>
  <c r="I110" i="49" l="1"/>
  <c r="H110" i="49"/>
  <c r="E111" i="49"/>
  <c r="F111" i="49" s="1"/>
  <c r="B111" i="49"/>
  <c r="H25" i="47"/>
  <c r="I25" i="47" s="1"/>
  <c r="H111" i="48"/>
  <c r="I111" i="48"/>
  <c r="J111" i="48" s="1"/>
  <c r="E112" i="48"/>
  <c r="F112" i="48" s="1"/>
  <c r="B112" i="48"/>
  <c r="H26" i="49"/>
  <c r="D27" i="49"/>
  <c r="E27" i="49"/>
  <c r="G26" i="49"/>
  <c r="D26" i="48"/>
  <c r="E26" i="48" s="1"/>
  <c r="I26" i="13"/>
  <c r="D26" i="47"/>
  <c r="E26" i="47" s="1"/>
  <c r="G25" i="48"/>
  <c r="I25" i="48" s="1"/>
  <c r="E27" i="13"/>
  <c r="F27" i="13" s="1"/>
  <c r="B27" i="13"/>
  <c r="G26" i="42"/>
  <c r="I26" i="42" s="1"/>
  <c r="H27" i="44"/>
  <c r="D28" i="44"/>
  <c r="G27" i="44"/>
  <c r="I26" i="46"/>
  <c r="D32" i="27"/>
  <c r="E32" i="27"/>
  <c r="H31" i="27"/>
  <c r="G31" i="27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G25" i="43"/>
  <c r="G26" i="40"/>
  <c r="I26" i="40" s="1"/>
  <c r="G30" i="28"/>
  <c r="D31" i="28"/>
  <c r="H30" i="28"/>
  <c r="E31" i="28"/>
  <c r="G30" i="29"/>
  <c r="D31" i="29"/>
  <c r="H30" i="29"/>
  <c r="E31" i="29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G34" i="25"/>
  <c r="D35" i="25"/>
  <c r="H34" i="25"/>
  <c r="E35" i="25"/>
  <c r="B38" i="9"/>
  <c r="F38" i="9"/>
  <c r="G34" i="22"/>
  <c r="D35" i="22"/>
  <c r="H34" i="22"/>
  <c r="E35" i="22"/>
  <c r="H32" i="24"/>
  <c r="D33" i="24"/>
  <c r="G32" i="24"/>
  <c r="E33" i="24"/>
  <c r="B27" i="46"/>
  <c r="D39" i="7"/>
  <c r="G38" i="7"/>
  <c r="H38" i="7"/>
  <c r="E39" i="7"/>
  <c r="D27" i="40"/>
  <c r="E27" i="40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D40" i="10"/>
  <c r="H39" i="10"/>
  <c r="G39" i="10"/>
  <c r="E40" i="10"/>
  <c r="E27" i="46"/>
  <c r="F27" i="46" s="1"/>
  <c r="G109" i="13"/>
  <c r="D110" i="13"/>
  <c r="E110" i="13" s="1"/>
  <c r="J108" i="13"/>
  <c r="D112" i="49" l="1"/>
  <c r="B112" i="49" s="1"/>
  <c r="G111" i="49"/>
  <c r="J110" i="49"/>
  <c r="G112" i="48"/>
  <c r="D113" i="48"/>
  <c r="B113" i="48" s="1"/>
  <c r="F27" i="49"/>
  <c r="G27" i="49" s="1"/>
  <c r="B27" i="49"/>
  <c r="F26" i="47"/>
  <c r="G26" i="47" s="1"/>
  <c r="B26" i="47"/>
  <c r="F26" i="48"/>
  <c r="B26" i="48"/>
  <c r="I26" i="49"/>
  <c r="I25" i="43"/>
  <c r="G27" i="13"/>
  <c r="H27" i="13"/>
  <c r="D28" i="13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I35" i="5"/>
  <c r="B28" i="45"/>
  <c r="F28" i="45"/>
  <c r="H28" i="45" s="1"/>
  <c r="F110" i="13"/>
  <c r="B110" i="13"/>
  <c r="H109" i="13"/>
  <c r="I109" i="13"/>
  <c r="E112" i="49" l="1"/>
  <c r="F112" i="49" s="1"/>
  <c r="H111" i="49"/>
  <c r="I111" i="49"/>
  <c r="J111" i="49" s="1"/>
  <c r="H27" i="49"/>
  <c r="I27" i="49" s="1"/>
  <c r="H112" i="48"/>
  <c r="I112" i="48"/>
  <c r="J112" i="48" s="1"/>
  <c r="E113" i="48"/>
  <c r="F113" i="48" s="1"/>
  <c r="D27" i="48"/>
  <c r="E27" i="48" s="1"/>
  <c r="G26" i="48"/>
  <c r="H26" i="48"/>
  <c r="H26" i="47"/>
  <c r="I26" i="47" s="1"/>
  <c r="D27" i="47"/>
  <c r="E27" i="47" s="1"/>
  <c r="D28" i="49"/>
  <c r="E28" i="49"/>
  <c r="I27" i="13"/>
  <c r="E28" i="13"/>
  <c r="F28" i="13" s="1"/>
  <c r="B28" i="13"/>
  <c r="H28" i="44"/>
  <c r="I28" i="44" s="1"/>
  <c r="D29" i="44"/>
  <c r="I38" i="9"/>
  <c r="H28" i="38"/>
  <c r="I28" i="38" s="1"/>
  <c r="G29" i="37"/>
  <c r="I29" i="37" s="1"/>
  <c r="H27" i="41"/>
  <c r="I27" i="41" s="1"/>
  <c r="H27" i="40"/>
  <c r="I27" i="40" s="1"/>
  <c r="D33" i="27"/>
  <c r="E33" i="27"/>
  <c r="G32" i="27"/>
  <c r="H32" i="27"/>
  <c r="H36" i="3"/>
  <c r="G36" i="3"/>
  <c r="D37" i="3"/>
  <c r="E37" i="3"/>
  <c r="G36" i="5"/>
  <c r="H36" i="5"/>
  <c r="D37" i="5"/>
  <c r="E37" i="5"/>
  <c r="H35" i="22"/>
  <c r="G35" i="22"/>
  <c r="D36" i="22"/>
  <c r="E36" i="22"/>
  <c r="D29" i="45"/>
  <c r="E29" i="45" s="1"/>
  <c r="G33" i="24"/>
  <c r="D34" i="24"/>
  <c r="H33" i="24"/>
  <c r="E34" i="24"/>
  <c r="D32" i="31"/>
  <c r="G31" i="31"/>
  <c r="H31" i="31"/>
  <c r="E32" i="31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G112" i="49" l="1"/>
  <c r="D113" i="49"/>
  <c r="I26" i="48"/>
  <c r="D114" i="48"/>
  <c r="G113" i="48"/>
  <c r="F27" i="47"/>
  <c r="H27" i="47" s="1"/>
  <c r="B27" i="47"/>
  <c r="F28" i="49"/>
  <c r="H28" i="49" s="1"/>
  <c r="B28" i="49"/>
  <c r="B27" i="48"/>
  <c r="F27" i="48"/>
  <c r="H27" i="48" s="1"/>
  <c r="H28" i="13"/>
  <c r="G28" i="13"/>
  <c r="D29" i="13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F37" i="4"/>
  <c r="B37" i="4"/>
  <c r="E40" i="9"/>
  <c r="H39" i="9"/>
  <c r="D40" i="9"/>
  <c r="G39" i="9"/>
  <c r="B31" i="30"/>
  <c r="F31" i="30"/>
  <c r="B27" i="43"/>
  <c r="F27" i="43"/>
  <c r="H27" i="4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F34" i="24"/>
  <c r="B34" i="24"/>
  <c r="F29" i="45"/>
  <c r="B29" i="45"/>
  <c r="B36" i="22"/>
  <c r="F36" i="22"/>
  <c r="F37" i="5"/>
  <c r="B37" i="5"/>
  <c r="H110" i="13"/>
  <c r="I110" i="13"/>
  <c r="B111" i="13"/>
  <c r="F111" i="13"/>
  <c r="G27" i="48" l="1"/>
  <c r="E113" i="49"/>
  <c r="F113" i="49" s="1"/>
  <c r="B113" i="49"/>
  <c r="H112" i="49"/>
  <c r="I112" i="49"/>
  <c r="G28" i="49"/>
  <c r="I28" i="49" s="1"/>
  <c r="G27" i="47"/>
  <c r="I27" i="47" s="1"/>
  <c r="I27" i="48"/>
  <c r="E114" i="48"/>
  <c r="F114" i="48" s="1"/>
  <c r="B114" i="48"/>
  <c r="I113" i="48"/>
  <c r="H113" i="48"/>
  <c r="D28" i="48"/>
  <c r="E28" i="48" s="1"/>
  <c r="D29" i="49"/>
  <c r="E29" i="49"/>
  <c r="D28" i="47"/>
  <c r="E28" i="47" s="1"/>
  <c r="I28" i="13"/>
  <c r="E29" i="13"/>
  <c r="F29" i="13" s="1"/>
  <c r="B29" i="1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G33" i="27"/>
  <c r="H33" i="27"/>
  <c r="D34" i="27"/>
  <c r="D30" i="45"/>
  <c r="E30" i="45" s="1"/>
  <c r="G39" i="11"/>
  <c r="H39" i="11"/>
  <c r="D40" i="11"/>
  <c r="E40" i="11"/>
  <c r="D39" i="6"/>
  <c r="H38" i="6"/>
  <c r="G38" i="6"/>
  <c r="E39" i="6"/>
  <c r="D29" i="42"/>
  <c r="E29" i="42"/>
  <c r="G32" i="29"/>
  <c r="D33" i="29"/>
  <c r="H32" i="29"/>
  <c r="E33" i="29"/>
  <c r="G38" i="8"/>
  <c r="D39" i="8"/>
  <c r="H38" i="8"/>
  <c r="E39" i="8"/>
  <c r="D30" i="38"/>
  <c r="E30" i="38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D29" i="40"/>
  <c r="E29" i="40"/>
  <c r="H36" i="22"/>
  <c r="D37" i="22"/>
  <c r="G36" i="22"/>
  <c r="E37" i="22"/>
  <c r="H29" i="45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J110" i="13"/>
  <c r="G111" i="13"/>
  <c r="D112" i="13"/>
  <c r="E112" i="13" s="1"/>
  <c r="G113" i="49" l="1"/>
  <c r="D114" i="49"/>
  <c r="J112" i="49"/>
  <c r="J113" i="48"/>
  <c r="D115" i="48"/>
  <c r="G114" i="48"/>
  <c r="F29" i="49"/>
  <c r="H29" i="49" s="1"/>
  <c r="B29" i="49"/>
  <c r="B28" i="47"/>
  <c r="F28" i="47"/>
  <c r="H28" i="47" s="1"/>
  <c r="F28" i="48"/>
  <c r="G28" i="48" s="1"/>
  <c r="B28" i="48"/>
  <c r="I29" i="45"/>
  <c r="H29" i="13"/>
  <c r="D30" i="13"/>
  <c r="G29" i="13"/>
  <c r="I39" i="11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B38" i="3"/>
  <c r="F38" i="3"/>
  <c r="F30" i="39"/>
  <c r="H30" i="39" s="1"/>
  <c r="B30" i="39"/>
  <c r="F30" i="38"/>
  <c r="H30" i="38" s="1"/>
  <c r="B30" i="38"/>
  <c r="B37" i="25"/>
  <c r="F37" i="25"/>
  <c r="F28" i="43"/>
  <c r="H28" i="43" s="1"/>
  <c r="B28" i="43"/>
  <c r="I41" i="10"/>
  <c r="F38" i="5"/>
  <c r="B38" i="5"/>
  <c r="I32" i="3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B112" i="13"/>
  <c r="F112" i="13"/>
  <c r="I111" i="13"/>
  <c r="H111" i="13"/>
  <c r="E114" i="49" l="1"/>
  <c r="F114" i="49" s="1"/>
  <c r="B114" i="49"/>
  <c r="I113" i="49"/>
  <c r="H113" i="49"/>
  <c r="G28" i="47"/>
  <c r="I28" i="47" s="1"/>
  <c r="I114" i="48"/>
  <c r="H114" i="48"/>
  <c r="E115" i="48"/>
  <c r="F115" i="48" s="1"/>
  <c r="B115" i="48"/>
  <c r="D30" i="49"/>
  <c r="E30" i="49"/>
  <c r="D29" i="47"/>
  <c r="E29" i="47" s="1"/>
  <c r="H28" i="48"/>
  <c r="I28" i="48" s="1"/>
  <c r="D29" i="48"/>
  <c r="E29" i="48"/>
  <c r="G29" i="49"/>
  <c r="I29" i="49" s="1"/>
  <c r="E30" i="13"/>
  <c r="F30" i="13" s="1"/>
  <c r="B30" i="13"/>
  <c r="I29" i="13"/>
  <c r="G30" i="44"/>
  <c r="H30" i="44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G114" i="49" l="1"/>
  <c r="D115" i="49"/>
  <c r="J113" i="49"/>
  <c r="G115" i="48"/>
  <c r="D116" i="48"/>
  <c r="J114" i="48"/>
  <c r="B29" i="48"/>
  <c r="F29" i="48"/>
  <c r="H29" i="48" s="1"/>
  <c r="B30" i="49"/>
  <c r="F30" i="49"/>
  <c r="G30" i="49" s="1"/>
  <c r="F29" i="47"/>
  <c r="H29" i="47" s="1"/>
  <c r="B29" i="47"/>
  <c r="I30" i="44"/>
  <c r="H30" i="13"/>
  <c r="G30" i="13"/>
  <c r="D31" i="13"/>
  <c r="E31" i="44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B115" i="49" l="1"/>
  <c r="I114" i="49"/>
  <c r="H114" i="49"/>
  <c r="E115" i="49"/>
  <c r="F115" i="49" s="1"/>
  <c r="G29" i="47"/>
  <c r="I29" i="47" s="1"/>
  <c r="H30" i="49"/>
  <c r="I30" i="49" s="1"/>
  <c r="G29" i="48"/>
  <c r="I29" i="48" s="1"/>
  <c r="E116" i="48"/>
  <c r="F116" i="48" s="1"/>
  <c r="B116" i="48"/>
  <c r="H115" i="48"/>
  <c r="I115" i="48"/>
  <c r="D31" i="49"/>
  <c r="E31" i="49"/>
  <c r="D30" i="48"/>
  <c r="E30" i="48"/>
  <c r="D30" i="47"/>
  <c r="E30" i="47" s="1"/>
  <c r="I30" i="13"/>
  <c r="E31" i="13"/>
  <c r="F31" i="13" s="1"/>
  <c r="B31" i="13"/>
  <c r="D32" i="44"/>
  <c r="H31" i="44"/>
  <c r="G31" i="44"/>
  <c r="H31" i="38"/>
  <c r="I31" i="38" s="1"/>
  <c r="G31" i="45"/>
  <c r="I31" i="45" s="1"/>
  <c r="H35" i="27"/>
  <c r="D36" i="27"/>
  <c r="G35" i="27"/>
  <c r="D33" i="37"/>
  <c r="E33" i="37"/>
  <c r="D40" i="3"/>
  <c r="G39" i="3"/>
  <c r="H39" i="3"/>
  <c r="E40" i="3"/>
  <c r="D31" i="40"/>
  <c r="E31" i="40"/>
  <c r="G29" i="43"/>
  <c r="I29" i="43" s="1"/>
  <c r="D32" i="39"/>
  <c r="E32" i="39"/>
  <c r="H40" i="6"/>
  <c r="D41" i="6"/>
  <c r="E41" i="6" s="1"/>
  <c r="G40" i="6"/>
  <c r="G38" i="25"/>
  <c r="H38" i="25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H32" i="37"/>
  <c r="H31" i="39"/>
  <c r="I31" i="39" s="1"/>
  <c r="G33" i="30"/>
  <c r="D34" i="30"/>
  <c r="H33" i="30"/>
  <c r="E34" i="30"/>
  <c r="I41" i="9"/>
  <c r="G38" i="22"/>
  <c r="H38" i="22"/>
  <c r="D39" i="22"/>
  <c r="E39" i="22"/>
  <c r="G36" i="24"/>
  <c r="D37" i="24"/>
  <c r="H36" i="24"/>
  <c r="E37" i="24"/>
  <c r="H39" i="4"/>
  <c r="G39" i="4"/>
  <c r="D40" i="4"/>
  <c r="E40" i="4" s="1"/>
  <c r="G40" i="8"/>
  <c r="D41" i="8"/>
  <c r="E41" i="8" s="1"/>
  <c r="H40" i="8"/>
  <c r="H34" i="28"/>
  <c r="G34" i="28"/>
  <c r="D35" i="28"/>
  <c r="E35" i="2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J112" i="13"/>
  <c r="G113" i="13"/>
  <c r="D114" i="13"/>
  <c r="G115" i="49" l="1"/>
  <c r="D116" i="49"/>
  <c r="B116" i="49" s="1"/>
  <c r="J114" i="49"/>
  <c r="D117" i="48"/>
  <c r="G116" i="48"/>
  <c r="J115" i="48"/>
  <c r="F30" i="48"/>
  <c r="G30" i="48" s="1"/>
  <c r="B30" i="48"/>
  <c r="F31" i="49"/>
  <c r="B31" i="49"/>
  <c r="F30" i="47"/>
  <c r="B30" i="47"/>
  <c r="H31" i="13"/>
  <c r="G31" i="13"/>
  <c r="D32" i="13"/>
  <c r="I38" i="25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B114" i="13"/>
  <c r="H113" i="13"/>
  <c r="I113" i="13"/>
  <c r="E114" i="13"/>
  <c r="F114" i="13" s="1"/>
  <c r="E116" i="49" l="1"/>
  <c r="F116" i="49" s="1"/>
  <c r="D117" i="49" s="1"/>
  <c r="B117" i="49" s="1"/>
  <c r="E117" i="49"/>
  <c r="F117" i="49" s="1"/>
  <c r="G117" i="49" s="1"/>
  <c r="H115" i="49"/>
  <c r="I115" i="49"/>
  <c r="E117" i="48"/>
  <c r="F117" i="48" s="1"/>
  <c r="B117" i="48"/>
  <c r="I116" i="48"/>
  <c r="H116" i="48"/>
  <c r="H30" i="47"/>
  <c r="D31" i="47"/>
  <c r="E31" i="47" s="1"/>
  <c r="D32" i="49"/>
  <c r="E32" i="49"/>
  <c r="G30" i="47"/>
  <c r="G31" i="49"/>
  <c r="H31" i="49"/>
  <c r="H30" i="48"/>
  <c r="I30" i="48" s="1"/>
  <c r="D31" i="48"/>
  <c r="E31" i="48"/>
  <c r="I31" i="13"/>
  <c r="E32" i="13"/>
  <c r="F32" i="13" s="1"/>
  <c r="B32" i="13"/>
  <c r="G32" i="44"/>
  <c r="D33" i="44"/>
  <c r="H32" i="44"/>
  <c r="G32" i="38"/>
  <c r="I32" i="38" s="1"/>
  <c r="H36" i="27"/>
  <c r="G36" i="27"/>
  <c r="D37" i="27"/>
  <c r="G31" i="42"/>
  <c r="I31" i="42" s="1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13"/>
  <c r="G114" i="13"/>
  <c r="D115" i="13"/>
  <c r="E115" i="13" s="1"/>
  <c r="G116" i="49" l="1"/>
  <c r="D118" i="49"/>
  <c r="E118" i="49" s="1"/>
  <c r="F118" i="49" s="1"/>
  <c r="J115" i="49"/>
  <c r="J116" i="48"/>
  <c r="I30" i="47"/>
  <c r="I117" i="49"/>
  <c r="H117" i="49"/>
  <c r="G117" i="48"/>
  <c r="D118" i="48"/>
  <c r="B118" i="48" s="1"/>
  <c r="B31" i="48"/>
  <c r="F31" i="48"/>
  <c r="H31" i="48" s="1"/>
  <c r="B32" i="49"/>
  <c r="F32" i="49"/>
  <c r="G32" i="49" s="1"/>
  <c r="F31" i="47"/>
  <c r="H31" i="47" s="1"/>
  <c r="B31" i="47"/>
  <c r="I31" i="49"/>
  <c r="I32" i="44"/>
  <c r="H32" i="13"/>
  <c r="G32" i="13"/>
  <c r="D33" i="1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I36" i="27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13"/>
  <c r="F115" i="13"/>
  <c r="H114" i="13"/>
  <c r="I114" i="13"/>
  <c r="B118" i="49" l="1"/>
  <c r="I116" i="49"/>
  <c r="H116" i="49"/>
  <c r="H32" i="49"/>
  <c r="I32" i="49" s="1"/>
  <c r="G31" i="48"/>
  <c r="I31" i="48" s="1"/>
  <c r="J117" i="49"/>
  <c r="G31" i="47"/>
  <c r="I31" i="47" s="1"/>
  <c r="E118" i="48"/>
  <c r="F118" i="48" s="1"/>
  <c r="D119" i="48" s="1"/>
  <c r="B119" i="48" s="1"/>
  <c r="I117" i="48"/>
  <c r="H117" i="48"/>
  <c r="G118" i="49"/>
  <c r="D119" i="49"/>
  <c r="D33" i="49"/>
  <c r="E33" i="49"/>
  <c r="D32" i="48"/>
  <c r="E32" i="48"/>
  <c r="D32" i="47"/>
  <c r="E32" i="47" s="1"/>
  <c r="I32" i="13"/>
  <c r="E33" i="13"/>
  <c r="F33" i="13" s="1"/>
  <c r="H33" i="13" s="1"/>
  <c r="B33" i="13"/>
  <c r="G33" i="38"/>
  <c r="I33" i="38" s="1"/>
  <c r="D34" i="44"/>
  <c r="G33" i="44"/>
  <c r="H33" i="44"/>
  <c r="D38" i="27"/>
  <c r="E38" i="27"/>
  <c r="G37" i="27"/>
  <c r="H37" i="27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H32" i="42"/>
  <c r="I32" i="42" s="1"/>
  <c r="G31" i="43"/>
  <c r="D116" i="13"/>
  <c r="G115" i="13"/>
  <c r="J114" i="13"/>
  <c r="J116" i="49" l="1"/>
  <c r="E119" i="48"/>
  <c r="F119" i="48" s="1"/>
  <c r="G118" i="48"/>
  <c r="I118" i="48" s="1"/>
  <c r="J117" i="48"/>
  <c r="E119" i="49"/>
  <c r="F119" i="49" s="1"/>
  <c r="B119" i="49"/>
  <c r="H118" i="48"/>
  <c r="G119" i="48"/>
  <c r="D120" i="48"/>
  <c r="H118" i="49"/>
  <c r="I118" i="49"/>
  <c r="B32" i="47"/>
  <c r="F32" i="47"/>
  <c r="G32" i="47" s="1"/>
  <c r="F33" i="49"/>
  <c r="D34" i="49" s="1"/>
  <c r="B33" i="49"/>
  <c r="F32" i="48"/>
  <c r="G32" i="48" s="1"/>
  <c r="B32" i="48"/>
  <c r="G33" i="13"/>
  <c r="I33" i="13" s="1"/>
  <c r="D34" i="13"/>
  <c r="I33" i="44"/>
  <c r="E34" i="44"/>
  <c r="F34" i="44" s="1"/>
  <c r="B34" i="44"/>
  <c r="I36" i="29"/>
  <c r="I32" i="40"/>
  <c r="I37" i="27"/>
  <c r="I36" i="28"/>
  <c r="I41" i="3"/>
  <c r="I31" i="43"/>
  <c r="F38" i="27"/>
  <c r="B38" i="27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H33" i="49" l="1"/>
  <c r="H32" i="47"/>
  <c r="I32" i="47" s="1"/>
  <c r="G33" i="49"/>
  <c r="I33" i="49" s="1"/>
  <c r="E120" i="48"/>
  <c r="F120" i="48" s="1"/>
  <c r="B120" i="48"/>
  <c r="D120" i="49"/>
  <c r="B120" i="49" s="1"/>
  <c r="G119" i="49"/>
  <c r="H119" i="48"/>
  <c r="I119" i="48"/>
  <c r="J118" i="49"/>
  <c r="J118" i="48"/>
  <c r="D33" i="47"/>
  <c r="E33" i="47" s="1"/>
  <c r="H32" i="48"/>
  <c r="I32" i="48" s="1"/>
  <c r="D33" i="48"/>
  <c r="E33" i="48"/>
  <c r="E34" i="49"/>
  <c r="F34" i="49" s="1"/>
  <c r="B34" i="49"/>
  <c r="E34" i="13"/>
  <c r="F34" i="13" s="1"/>
  <c r="H34" i="13" s="1"/>
  <c r="B34" i="13"/>
  <c r="G34" i="44"/>
  <c r="D35" i="44"/>
  <c r="H34" i="44"/>
  <c r="H33" i="41"/>
  <c r="I33" i="41" s="1"/>
  <c r="H34" i="38"/>
  <c r="I34" i="38" s="1"/>
  <c r="D39" i="27"/>
  <c r="G38" i="27"/>
  <c r="H38" i="27"/>
  <c r="I44" i="9"/>
  <c r="H33" i="42"/>
  <c r="I33" i="42" s="1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H43" i="6"/>
  <c r="G43" i="6"/>
  <c r="D44" i="6"/>
  <c r="E44" i="6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J115" i="13"/>
  <c r="G116" i="13"/>
  <c r="D117" i="13"/>
  <c r="E117" i="13" s="1"/>
  <c r="J119" i="48" l="1"/>
  <c r="E120" i="49"/>
  <c r="F120" i="49" s="1"/>
  <c r="D121" i="48"/>
  <c r="B121" i="48" s="1"/>
  <c r="G120" i="48"/>
  <c r="I119" i="49"/>
  <c r="H119" i="49"/>
  <c r="D35" i="49"/>
  <c r="E35" i="49"/>
  <c r="G34" i="49"/>
  <c r="H34" i="49"/>
  <c r="F33" i="47"/>
  <c r="G33" i="47" s="1"/>
  <c r="B33" i="47"/>
  <c r="B33" i="48"/>
  <c r="F33" i="48"/>
  <c r="G33" i="48" s="1"/>
  <c r="I34" i="44"/>
  <c r="G34" i="13"/>
  <c r="I34" i="13" s="1"/>
  <c r="D35" i="13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13"/>
  <c r="H116" i="13"/>
  <c r="B117" i="13"/>
  <c r="F117" i="13"/>
  <c r="E121" i="48" l="1"/>
  <c r="F121" i="48" s="1"/>
  <c r="D122" i="48" s="1"/>
  <c r="I120" i="48"/>
  <c r="H120" i="48"/>
  <c r="J119" i="49"/>
  <c r="G120" i="49"/>
  <c r="D121" i="49"/>
  <c r="D34" i="48"/>
  <c r="E34" i="48" s="1"/>
  <c r="D34" i="47"/>
  <c r="E34" i="47" s="1"/>
  <c r="B35" i="49"/>
  <c r="F35" i="49"/>
  <c r="H35" i="49" s="1"/>
  <c r="H33" i="48"/>
  <c r="I33" i="48" s="1"/>
  <c r="H33" i="47"/>
  <c r="I33" i="47" s="1"/>
  <c r="I34" i="49"/>
  <c r="E35" i="13"/>
  <c r="F35" i="13" s="1"/>
  <c r="H35" i="13" s="1"/>
  <c r="B35" i="13"/>
  <c r="G35" i="44"/>
  <c r="I35" i="44" s="1"/>
  <c r="D36" i="44"/>
  <c r="G36" i="37"/>
  <c r="I36" i="37" s="1"/>
  <c r="H34" i="42"/>
  <c r="I34" i="42" s="1"/>
  <c r="D40" i="27"/>
  <c r="H39" i="27"/>
  <c r="G39" i="27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E38" i="30"/>
  <c r="D43" i="22"/>
  <c r="H42" i="22"/>
  <c r="G42" i="22"/>
  <c r="E43" i="22"/>
  <c r="H43" i="3"/>
  <c r="G43" i="3"/>
  <c r="D44" i="3"/>
  <c r="E44" i="3"/>
  <c r="G38" i="28"/>
  <c r="D39" i="28"/>
  <c r="H38" i="28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G117" i="13"/>
  <c r="D118" i="13"/>
  <c r="E118" i="13" s="1"/>
  <c r="J116" i="13"/>
  <c r="G121" i="48" l="1"/>
  <c r="E121" i="49"/>
  <c r="F121" i="49" s="1"/>
  <c r="B121" i="49"/>
  <c r="H120" i="49"/>
  <c r="I120" i="49"/>
  <c r="J120" i="48"/>
  <c r="H121" i="48"/>
  <c r="I121" i="48"/>
  <c r="E122" i="48"/>
  <c r="F122" i="48" s="1"/>
  <c r="B122" i="48"/>
  <c r="F34" i="47"/>
  <c r="H34" i="47" s="1"/>
  <c r="B34" i="47"/>
  <c r="G35" i="49"/>
  <c r="I35" i="49" s="1"/>
  <c r="D36" i="49"/>
  <c r="F34" i="48"/>
  <c r="H34" i="48" s="1"/>
  <c r="B34" i="48"/>
  <c r="D36" i="13"/>
  <c r="G35" i="13"/>
  <c r="I35" i="13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F41" i="24"/>
  <c r="B41" i="24"/>
  <c r="G46" i="9"/>
  <c r="D47" i="9"/>
  <c r="E47" i="9"/>
  <c r="H46" i="9"/>
  <c r="B34" i="43"/>
  <c r="F34" i="43"/>
  <c r="H34" i="43" s="1"/>
  <c r="F47" i="7"/>
  <c r="B47" i="7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F118" i="13"/>
  <c r="B118" i="13"/>
  <c r="H117" i="13"/>
  <c r="I117" i="13"/>
  <c r="J121" i="48" l="1"/>
  <c r="G34" i="48"/>
  <c r="I34" i="48" s="1"/>
  <c r="G34" i="47"/>
  <c r="I34" i="47" s="1"/>
  <c r="D123" i="48"/>
  <c r="B123" i="48" s="1"/>
  <c r="G122" i="48"/>
  <c r="D122" i="49"/>
  <c r="G121" i="49"/>
  <c r="J120" i="49"/>
  <c r="E36" i="49"/>
  <c r="B36" i="49"/>
  <c r="F36" i="49"/>
  <c r="H36" i="49" s="1"/>
  <c r="E35" i="48"/>
  <c r="D35" i="48"/>
  <c r="D35" i="47"/>
  <c r="E35" i="47" s="1"/>
  <c r="E36" i="13"/>
  <c r="F36" i="13" s="1"/>
  <c r="B36" i="13"/>
  <c r="D37" i="44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13"/>
  <c r="G118" i="13"/>
  <c r="D119" i="13"/>
  <c r="E123" i="48" l="1"/>
  <c r="F123" i="48" s="1"/>
  <c r="G123" i="48" s="1"/>
  <c r="H121" i="49"/>
  <c r="I121" i="49"/>
  <c r="H122" i="48"/>
  <c r="I122" i="48"/>
  <c r="E122" i="49"/>
  <c r="F122" i="49" s="1"/>
  <c r="B122" i="49"/>
  <c r="F35" i="48"/>
  <c r="H35" i="48" s="1"/>
  <c r="B35" i="48"/>
  <c r="F35" i="47"/>
  <c r="H35" i="47" s="1"/>
  <c r="B35" i="47"/>
  <c r="D37" i="49"/>
  <c r="E37" i="49"/>
  <c r="G36" i="49"/>
  <c r="I36" i="49" s="1"/>
  <c r="G36" i="13"/>
  <c r="D37" i="13"/>
  <c r="H36" i="13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B41" i="27"/>
  <c r="D37" i="46"/>
  <c r="H36" i="46"/>
  <c r="G36" i="46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E119" i="13"/>
  <c r="F119" i="13" s="1"/>
  <c r="H118" i="13"/>
  <c r="I118" i="13"/>
  <c r="D124" i="48" l="1"/>
  <c r="E124" i="48" s="1"/>
  <c r="F124" i="48" s="1"/>
  <c r="I36" i="13"/>
  <c r="J121" i="49"/>
  <c r="D123" i="49"/>
  <c r="G122" i="49"/>
  <c r="B124" i="48"/>
  <c r="I123" i="48"/>
  <c r="H123" i="48"/>
  <c r="J122" i="48"/>
  <c r="B37" i="49"/>
  <c r="F37" i="49"/>
  <c r="G37" i="49" s="1"/>
  <c r="D36" i="47"/>
  <c r="E36" i="47" s="1"/>
  <c r="D36" i="48"/>
  <c r="E36" i="48" s="1"/>
  <c r="G35" i="47"/>
  <c r="I35" i="47" s="1"/>
  <c r="G35" i="48"/>
  <c r="I35" i="48" s="1"/>
  <c r="E37" i="13"/>
  <c r="F37" i="13" s="1"/>
  <c r="B37" i="13"/>
  <c r="H37" i="44"/>
  <c r="G37" i="44"/>
  <c r="D38" i="44"/>
  <c r="G37" i="38"/>
  <c r="I37" i="38" s="1"/>
  <c r="G41" i="27"/>
  <c r="E42" i="27"/>
  <c r="H41" i="27"/>
  <c r="D42" i="27"/>
  <c r="G37" i="39"/>
  <c r="I37" i="39" s="1"/>
  <c r="G35" i="43"/>
  <c r="I35" i="43" s="1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H37" i="49" l="1"/>
  <c r="D125" i="48"/>
  <c r="G124" i="48"/>
  <c r="J123" i="48"/>
  <c r="I122" i="49"/>
  <c r="H122" i="49"/>
  <c r="E123" i="49"/>
  <c r="F123" i="49" s="1"/>
  <c r="B123" i="49"/>
  <c r="I37" i="49"/>
  <c r="B36" i="47"/>
  <c r="F36" i="47"/>
  <c r="H36" i="47" s="1"/>
  <c r="F36" i="48"/>
  <c r="G36" i="48" s="1"/>
  <c r="B36" i="48"/>
  <c r="D38" i="49"/>
  <c r="E38" i="49"/>
  <c r="D38" i="13"/>
  <c r="H37" i="13"/>
  <c r="G37" i="13"/>
  <c r="I37" i="44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B36" i="43"/>
  <c r="F36" i="43"/>
  <c r="G36" i="4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20" i="13"/>
  <c r="E120" i="13"/>
  <c r="F120" i="13" s="1"/>
  <c r="J122" i="49" l="1"/>
  <c r="D124" i="49"/>
  <c r="B124" i="49" s="1"/>
  <c r="G123" i="49"/>
  <c r="H124" i="48"/>
  <c r="I124" i="48"/>
  <c r="E125" i="48"/>
  <c r="F125" i="48" s="1"/>
  <c r="B125" i="48"/>
  <c r="H36" i="48"/>
  <c r="I36" i="48" s="1"/>
  <c r="D37" i="48"/>
  <c r="E37" i="48"/>
  <c r="D37" i="47"/>
  <c r="E37" i="47" s="1"/>
  <c r="F38" i="49"/>
  <c r="B38" i="49"/>
  <c r="G36" i="47"/>
  <c r="I36" i="47" s="1"/>
  <c r="I37" i="13"/>
  <c r="E38" i="13"/>
  <c r="F38" i="13" s="1"/>
  <c r="B38" i="1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G42" i="27"/>
  <c r="H42" i="27"/>
  <c r="D43" i="27"/>
  <c r="D46" i="22"/>
  <c r="G45" i="22"/>
  <c r="H45" i="22"/>
  <c r="E46" i="22"/>
  <c r="G45" i="25"/>
  <c r="H45" i="25"/>
  <c r="D46" i="25"/>
  <c r="E46" i="25"/>
  <c r="D37" i="43"/>
  <c r="E37" i="4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E124" i="49" l="1"/>
  <c r="F124" i="49" s="1"/>
  <c r="J124" i="48"/>
  <c r="I123" i="49"/>
  <c r="H123" i="49"/>
  <c r="G125" i="48"/>
  <c r="D126" i="48"/>
  <c r="G124" i="49"/>
  <c r="D125" i="49"/>
  <c r="B125" i="49" s="1"/>
  <c r="D39" i="49"/>
  <c r="E39" i="49"/>
  <c r="B37" i="48"/>
  <c r="F37" i="48"/>
  <c r="G37" i="48" s="1"/>
  <c r="G38" i="49"/>
  <c r="F37" i="47"/>
  <c r="B37" i="47"/>
  <c r="H38" i="49"/>
  <c r="G38" i="13"/>
  <c r="H38" i="13"/>
  <c r="D39" i="13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B37" i="43"/>
  <c r="F37" i="43"/>
  <c r="G37" i="43" s="1"/>
  <c r="F46" i="25"/>
  <c r="B46" i="25"/>
  <c r="I45" i="22"/>
  <c r="B121" i="13"/>
  <c r="I120" i="13"/>
  <c r="H120" i="13"/>
  <c r="E121" i="13"/>
  <c r="F121" i="13" s="1"/>
  <c r="E125" i="49" l="1"/>
  <c r="F125" i="49" s="1"/>
  <c r="I38" i="49"/>
  <c r="E126" i="48"/>
  <c r="F126" i="48" s="1"/>
  <c r="B126" i="48"/>
  <c r="H125" i="48"/>
  <c r="I125" i="48"/>
  <c r="D126" i="49"/>
  <c r="G125" i="49"/>
  <c r="H124" i="49"/>
  <c r="I124" i="49"/>
  <c r="J123" i="49"/>
  <c r="D38" i="47"/>
  <c r="E38" i="47" s="1"/>
  <c r="G37" i="47"/>
  <c r="H37" i="47"/>
  <c r="E38" i="48"/>
  <c r="D38" i="48"/>
  <c r="H37" i="48"/>
  <c r="I37" i="48" s="1"/>
  <c r="F39" i="49"/>
  <c r="B39" i="49"/>
  <c r="I38" i="13"/>
  <c r="E39" i="13"/>
  <c r="F39" i="13" s="1"/>
  <c r="B39" i="13"/>
  <c r="H39" i="44"/>
  <c r="G39" i="44"/>
  <c r="D40" i="44"/>
  <c r="H38" i="40"/>
  <c r="I38" i="40" s="1"/>
  <c r="H43" i="27"/>
  <c r="D44" i="27"/>
  <c r="E44" i="27"/>
  <c r="G43" i="27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I37" i="47" l="1"/>
  <c r="I125" i="49"/>
  <c r="H125" i="49"/>
  <c r="D127" i="48"/>
  <c r="B127" i="48" s="1"/>
  <c r="G126" i="48"/>
  <c r="E126" i="49"/>
  <c r="F126" i="49" s="1"/>
  <c r="B126" i="49"/>
  <c r="J124" i="49"/>
  <c r="J125" i="48"/>
  <c r="G39" i="49"/>
  <c r="D40" i="49"/>
  <c r="E40" i="49"/>
  <c r="H39" i="49"/>
  <c r="F38" i="48"/>
  <c r="B38" i="48"/>
  <c r="G38" i="48"/>
  <c r="B38" i="47"/>
  <c r="F38" i="47"/>
  <c r="G38" i="47" s="1"/>
  <c r="G39" i="13"/>
  <c r="H39" i="13"/>
  <c r="D40" i="13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I44" i="24"/>
  <c r="I49" i="11"/>
  <c r="I43" i="27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I39" i="13" l="1"/>
  <c r="I39" i="49"/>
  <c r="D127" i="49"/>
  <c r="G126" i="49"/>
  <c r="I126" i="48"/>
  <c r="H126" i="48"/>
  <c r="E127" i="48"/>
  <c r="F127" i="48" s="1"/>
  <c r="J125" i="49"/>
  <c r="D39" i="47"/>
  <c r="E39" i="47" s="1"/>
  <c r="B40" i="49"/>
  <c r="F40" i="49"/>
  <c r="G40" i="49" s="1"/>
  <c r="H38" i="47"/>
  <c r="I38" i="47" s="1"/>
  <c r="H38" i="48"/>
  <c r="I38" i="48" s="1"/>
  <c r="D39" i="48"/>
  <c r="E39" i="48" s="1"/>
  <c r="E40" i="13"/>
  <c r="F40" i="13" s="1"/>
  <c r="G40" i="13" s="1"/>
  <c r="B40" i="13"/>
  <c r="G40" i="44"/>
  <c r="I40" i="44" s="1"/>
  <c r="D41" i="44"/>
  <c r="E41" i="44" s="1"/>
  <c r="I50" i="9"/>
  <c r="G40" i="38"/>
  <c r="I40" i="38" s="1"/>
  <c r="H39" i="40"/>
  <c r="I39" i="40" s="1"/>
  <c r="D45" i="27"/>
  <c r="E45" i="27"/>
  <c r="G44" i="27"/>
  <c r="H44" i="27"/>
  <c r="D41" i="45"/>
  <c r="H40" i="45"/>
  <c r="G40" i="45"/>
  <c r="B40" i="46"/>
  <c r="D40" i="42"/>
  <c r="E40" i="42" s="1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D48" i="25"/>
  <c r="E48" i="25" s="1"/>
  <c r="G47" i="25"/>
  <c r="H47" i="25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D123" i="13"/>
  <c r="E123" i="13" s="1"/>
  <c r="G122" i="13"/>
  <c r="H40" i="49" l="1"/>
  <c r="I40" i="49" s="1"/>
  <c r="J126" i="48"/>
  <c r="H126" i="49"/>
  <c r="I126" i="49"/>
  <c r="J126" i="49" s="1"/>
  <c r="G127" i="48"/>
  <c r="D128" i="48"/>
  <c r="B128" i="48" s="1"/>
  <c r="E127" i="49"/>
  <c r="F127" i="49" s="1"/>
  <c r="B127" i="49"/>
  <c r="F39" i="47"/>
  <c r="G39" i="47" s="1"/>
  <c r="B39" i="47"/>
  <c r="F39" i="48"/>
  <c r="G39" i="48" s="1"/>
  <c r="B39" i="48"/>
  <c r="E41" i="49"/>
  <c r="D41" i="49"/>
  <c r="H40" i="13"/>
  <c r="I40" i="13" s="1"/>
  <c r="D41" i="13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I39" i="42"/>
  <c r="B46" i="24"/>
  <c r="F46" i="24"/>
  <c r="I43" i="28"/>
  <c r="I40" i="45"/>
  <c r="I122" i="13"/>
  <c r="H122" i="13"/>
  <c r="F123" i="13"/>
  <c r="B123" i="13"/>
  <c r="E128" i="48" l="1"/>
  <c r="F128" i="48" s="1"/>
  <c r="G128" i="48" s="1"/>
  <c r="H39" i="48"/>
  <c r="I39" i="48" s="1"/>
  <c r="H39" i="47"/>
  <c r="I39" i="47" s="1"/>
  <c r="G127" i="49"/>
  <c r="D128" i="49"/>
  <c r="D129" i="48"/>
  <c r="H127" i="48"/>
  <c r="I127" i="48"/>
  <c r="F41" i="49"/>
  <c r="D42" i="49" s="1"/>
  <c r="B41" i="49"/>
  <c r="D40" i="48"/>
  <c r="E40" i="48"/>
  <c r="D40" i="47"/>
  <c r="E40" i="47" s="1"/>
  <c r="E41" i="13"/>
  <c r="F41" i="13" s="1"/>
  <c r="B41" i="1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G123" i="13"/>
  <c r="D124" i="13"/>
  <c r="J122" i="13"/>
  <c r="J127" i="48" l="1"/>
  <c r="E129" i="48"/>
  <c r="F129" i="48" s="1"/>
  <c r="B129" i="48"/>
  <c r="H128" i="48"/>
  <c r="I128" i="48"/>
  <c r="E128" i="49"/>
  <c r="F128" i="49" s="1"/>
  <c r="B128" i="49"/>
  <c r="H127" i="49"/>
  <c r="I127" i="49"/>
  <c r="B40" i="47"/>
  <c r="F40" i="47"/>
  <c r="H40" i="47" s="1"/>
  <c r="E42" i="49"/>
  <c r="F42" i="49" s="1"/>
  <c r="B42" i="49"/>
  <c r="H41" i="49"/>
  <c r="F40" i="48"/>
  <c r="G40" i="48" s="1"/>
  <c r="B40" i="48"/>
  <c r="G41" i="49"/>
  <c r="G41" i="13"/>
  <c r="D42" i="13"/>
  <c r="H41" i="13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J127" i="49" l="1"/>
  <c r="G40" i="47"/>
  <c r="I40" i="47" s="1"/>
  <c r="D129" i="49"/>
  <c r="B129" i="49" s="1"/>
  <c r="G128" i="49"/>
  <c r="G129" i="48"/>
  <c r="D130" i="48"/>
  <c r="B130" i="48" s="1"/>
  <c r="J128" i="48"/>
  <c r="E43" i="49"/>
  <c r="D43" i="49"/>
  <c r="G42" i="49"/>
  <c r="H42" i="49"/>
  <c r="H40" i="48"/>
  <c r="I40" i="48" s="1"/>
  <c r="D41" i="48"/>
  <c r="E41" i="48" s="1"/>
  <c r="I41" i="49"/>
  <c r="D41" i="47"/>
  <c r="E41" i="47" s="1"/>
  <c r="I41" i="13"/>
  <c r="E42" i="13"/>
  <c r="F42" i="13" s="1"/>
  <c r="B42" i="1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G46" i="27"/>
  <c r="H46" i="27"/>
  <c r="D47" i="27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3" i="13"/>
  <c r="G124" i="13"/>
  <c r="D125" i="13"/>
  <c r="E125" i="13" s="1"/>
  <c r="E129" i="49" l="1"/>
  <c r="F129" i="49" s="1"/>
  <c r="E130" i="48"/>
  <c r="F130" i="48" s="1"/>
  <c r="G130" i="48" s="1"/>
  <c r="I129" i="48"/>
  <c r="H129" i="48"/>
  <c r="I128" i="49"/>
  <c r="H128" i="49"/>
  <c r="D130" i="49"/>
  <c r="G129" i="49"/>
  <c r="B41" i="48"/>
  <c r="F41" i="48"/>
  <c r="G41" i="48" s="1"/>
  <c r="I42" i="49"/>
  <c r="F41" i="47"/>
  <c r="G41" i="47" s="1"/>
  <c r="B41" i="47"/>
  <c r="F43" i="49"/>
  <c r="H43" i="49" s="1"/>
  <c r="B43" i="49"/>
  <c r="G42" i="13"/>
  <c r="D43" i="13"/>
  <c r="H42" i="13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B125" i="13"/>
  <c r="F125" i="13"/>
  <c r="I124" i="13"/>
  <c r="H124" i="13"/>
  <c r="H41" i="48" l="1"/>
  <c r="D131" i="48"/>
  <c r="B131" i="48" s="1"/>
  <c r="H41" i="47"/>
  <c r="I41" i="47" s="1"/>
  <c r="I129" i="49"/>
  <c r="H129" i="49"/>
  <c r="E131" i="48"/>
  <c r="F131" i="48" s="1"/>
  <c r="E130" i="49"/>
  <c r="F130" i="49" s="1"/>
  <c r="B130" i="49"/>
  <c r="I130" i="48"/>
  <c r="H130" i="48"/>
  <c r="J128" i="49"/>
  <c r="J129" i="48"/>
  <c r="D44" i="49"/>
  <c r="E44" i="49"/>
  <c r="I41" i="48"/>
  <c r="G43" i="49"/>
  <c r="I43" i="49" s="1"/>
  <c r="D42" i="47"/>
  <c r="E42" i="47" s="1"/>
  <c r="D42" i="48"/>
  <c r="E42" i="48" s="1"/>
  <c r="I42" i="13"/>
  <c r="B43" i="13"/>
  <c r="E43" i="13"/>
  <c r="F43" i="13" s="1"/>
  <c r="G43" i="44"/>
  <c r="D44" i="44"/>
  <c r="H43" i="44"/>
  <c r="G41" i="43"/>
  <c r="I41" i="43" s="1"/>
  <c r="H47" i="27"/>
  <c r="D48" i="27"/>
  <c r="G47" i="27"/>
  <c r="G43" i="45"/>
  <c r="I43" i="45" s="1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D126" i="13"/>
  <c r="G125" i="13"/>
  <c r="J124" i="13"/>
  <c r="G131" i="48" l="1"/>
  <c r="D132" i="48"/>
  <c r="G130" i="49"/>
  <c r="D131" i="49"/>
  <c r="J130" i="48"/>
  <c r="J155" i="48" s="1"/>
  <c r="J129" i="49"/>
  <c r="B42" i="47"/>
  <c r="F42" i="47"/>
  <c r="H42" i="47" s="1"/>
  <c r="B42" i="48"/>
  <c r="F42" i="48"/>
  <c r="G42" i="48" s="1"/>
  <c r="F44" i="49"/>
  <c r="H44" i="49" s="1"/>
  <c r="B44" i="49"/>
  <c r="D44" i="13"/>
  <c r="H43" i="13"/>
  <c r="G43" i="13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E126" i="13"/>
  <c r="F126" i="13" s="1"/>
  <c r="G44" i="49" l="1"/>
  <c r="G42" i="47"/>
  <c r="I42" i="47" s="1"/>
  <c r="E131" i="49"/>
  <c r="F131" i="49" s="1"/>
  <c r="B131" i="49"/>
  <c r="I130" i="49"/>
  <c r="H130" i="49"/>
  <c r="E132" i="48"/>
  <c r="F132" i="48" s="1"/>
  <c r="B132" i="48"/>
  <c r="I131" i="48"/>
  <c r="H131" i="48"/>
  <c r="I44" i="49"/>
  <c r="H42" i="48"/>
  <c r="I42" i="48" s="1"/>
  <c r="D43" i="48"/>
  <c r="E43" i="48" s="1"/>
  <c r="D43" i="47"/>
  <c r="E43" i="47" s="1"/>
  <c r="E45" i="49"/>
  <c r="D45" i="49"/>
  <c r="I43" i="13"/>
  <c r="E44" i="13"/>
  <c r="F44" i="13" s="1"/>
  <c r="B44" i="13"/>
  <c r="G44" i="44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F55" i="9"/>
  <c r="B55" i="9"/>
  <c r="H52" i="4"/>
  <c r="D53" i="4"/>
  <c r="E53" i="4" s="1"/>
  <c r="G52" i="4"/>
  <c r="D44" i="42"/>
  <c r="E44" i="42"/>
  <c r="J125" i="13"/>
  <c r="D127" i="13"/>
  <c r="G126" i="13"/>
  <c r="J130" i="49" l="1"/>
  <c r="J155" i="49" s="1"/>
  <c r="G131" i="49"/>
  <c r="D132" i="49"/>
  <c r="B132" i="49" s="1"/>
  <c r="D133" i="48"/>
  <c r="G132" i="48"/>
  <c r="F43" i="47"/>
  <c r="H43" i="47" s="1"/>
  <c r="B43" i="47"/>
  <c r="B45" i="49"/>
  <c r="F45" i="49"/>
  <c r="H45" i="49"/>
  <c r="F43" i="48"/>
  <c r="B43" i="48"/>
  <c r="G44" i="13"/>
  <c r="D45" i="13"/>
  <c r="H44" i="13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H126" i="13"/>
  <c r="I126" i="13"/>
  <c r="E127" i="13"/>
  <c r="F127" i="13" s="1"/>
  <c r="E132" i="49" l="1"/>
  <c r="F132" i="49" s="1"/>
  <c r="E133" i="48"/>
  <c r="F133" i="48" s="1"/>
  <c r="B133" i="48"/>
  <c r="D133" i="49"/>
  <c r="B133" i="49" s="1"/>
  <c r="G132" i="49"/>
  <c r="I132" i="48"/>
  <c r="H132" i="48"/>
  <c r="H131" i="49"/>
  <c r="I131" i="49"/>
  <c r="D44" i="48"/>
  <c r="E44" i="48" s="1"/>
  <c r="I44" i="13"/>
  <c r="G43" i="48"/>
  <c r="H43" i="48"/>
  <c r="G45" i="49"/>
  <c r="I45" i="49" s="1"/>
  <c r="D46" i="49"/>
  <c r="G43" i="47"/>
  <c r="I43" i="47" s="1"/>
  <c r="D44" i="47"/>
  <c r="E44" i="47" s="1"/>
  <c r="E45" i="13"/>
  <c r="F45" i="13" s="1"/>
  <c r="B45" i="13"/>
  <c r="G45" i="39"/>
  <c r="I45" i="39" s="1"/>
  <c r="G44" i="42"/>
  <c r="I44" i="42" s="1"/>
  <c r="G45" i="44"/>
  <c r="I45" i="44" s="1"/>
  <c r="D46" i="44"/>
  <c r="H46" i="37"/>
  <c r="I46" i="37" s="1"/>
  <c r="G45" i="45"/>
  <c r="I45" i="45" s="1"/>
  <c r="H43" i="43"/>
  <c r="I43" i="43" s="1"/>
  <c r="G49" i="27"/>
  <c r="H49" i="27"/>
  <c r="D50" i="27"/>
  <c r="I55" i="9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D57" i="7"/>
  <c r="E57" i="7" s="1"/>
  <c r="G56" i="7"/>
  <c r="H56" i="7"/>
  <c r="D45" i="40"/>
  <c r="E45" i="40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H45" i="38"/>
  <c r="I45" i="38" s="1"/>
  <c r="J126" i="13"/>
  <c r="G127" i="13"/>
  <c r="D128" i="13"/>
  <c r="E128" i="13" s="1"/>
  <c r="I43" i="48" l="1"/>
  <c r="D134" i="48"/>
  <c r="G133" i="48"/>
  <c r="E133" i="49"/>
  <c r="F133" i="49" s="1"/>
  <c r="H132" i="49"/>
  <c r="I132" i="49"/>
  <c r="F44" i="47"/>
  <c r="G44" i="47" s="1"/>
  <c r="B44" i="47"/>
  <c r="E46" i="49"/>
  <c r="F46" i="49" s="1"/>
  <c r="B46" i="49"/>
  <c r="B44" i="48"/>
  <c r="F44" i="48"/>
  <c r="G44" i="48" s="1"/>
  <c r="D46" i="13"/>
  <c r="G45" i="13"/>
  <c r="H45" i="13"/>
  <c r="E46" i="44"/>
  <c r="F46" i="44" s="1"/>
  <c r="B46" i="44"/>
  <c r="I47" i="30"/>
  <c r="I48" i="31"/>
  <c r="I52" i="25"/>
  <c r="I51" i="23"/>
  <c r="B50" i="27"/>
  <c r="I53" i="3"/>
  <c r="I49" i="27"/>
  <c r="I50" i="24"/>
  <c r="I54" i="8"/>
  <c r="E50" i="27"/>
  <c r="F50" i="27" s="1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 s="1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F128" i="13"/>
  <c r="B128" i="13"/>
  <c r="H127" i="13"/>
  <c r="I127" i="13"/>
  <c r="H44" i="47" l="1"/>
  <c r="I44" i="47" s="1"/>
  <c r="D134" i="49"/>
  <c r="G133" i="49"/>
  <c r="H133" i="48"/>
  <c r="I133" i="48"/>
  <c r="E134" i="48"/>
  <c r="F134" i="48" s="1"/>
  <c r="B134" i="48"/>
  <c r="H44" i="48"/>
  <c r="I44" i="48" s="1"/>
  <c r="D45" i="48"/>
  <c r="E45" i="48" s="1"/>
  <c r="E47" i="49"/>
  <c r="D47" i="49"/>
  <c r="H46" i="49"/>
  <c r="G46" i="49"/>
  <c r="D45" i="47"/>
  <c r="E45" i="47" s="1"/>
  <c r="I45" i="13"/>
  <c r="E46" i="13"/>
  <c r="F46" i="13" s="1"/>
  <c r="B46" i="13"/>
  <c r="H46" i="44"/>
  <c r="D47" i="44"/>
  <c r="G46" i="44"/>
  <c r="G47" i="37"/>
  <c r="I47" i="37" s="1"/>
  <c r="I45" i="46"/>
  <c r="H50" i="27"/>
  <c r="G50" i="27"/>
  <c r="D51" i="27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G128" i="13"/>
  <c r="D129" i="13"/>
  <c r="E129" i="13" s="1"/>
  <c r="I46" i="49" l="1"/>
  <c r="G134" i="48"/>
  <c r="D135" i="48"/>
  <c r="B135" i="48" s="1"/>
  <c r="I133" i="49"/>
  <c r="H133" i="49"/>
  <c r="E134" i="49"/>
  <c r="F134" i="49" s="1"/>
  <c r="B134" i="49"/>
  <c r="F45" i="48"/>
  <c r="H45" i="48" s="1"/>
  <c r="B45" i="48"/>
  <c r="F45" i="47"/>
  <c r="H45" i="47" s="1"/>
  <c r="B45" i="47"/>
  <c r="F47" i="49"/>
  <c r="D48" i="49" s="1"/>
  <c r="B47" i="49"/>
  <c r="G46" i="13"/>
  <c r="D47" i="13"/>
  <c r="H46" i="13"/>
  <c r="I53" i="25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B50" i="3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F129" i="13"/>
  <c r="B129" i="13"/>
  <c r="H128" i="13"/>
  <c r="I128" i="13"/>
  <c r="G45" i="48" l="1"/>
  <c r="E135" i="48"/>
  <c r="F135" i="48" s="1"/>
  <c r="D136" i="48" s="1"/>
  <c r="G45" i="47"/>
  <c r="I45" i="47" s="1"/>
  <c r="H47" i="49"/>
  <c r="I45" i="48"/>
  <c r="I46" i="13"/>
  <c r="G47" i="49"/>
  <c r="D135" i="49"/>
  <c r="B135" i="49" s="1"/>
  <c r="G134" i="49"/>
  <c r="G135" i="48"/>
  <c r="I134" i="48"/>
  <c r="H134" i="48"/>
  <c r="E48" i="49"/>
  <c r="F48" i="49" s="1"/>
  <c r="D49" i="49" s="1"/>
  <c r="B48" i="49"/>
  <c r="D46" i="47"/>
  <c r="E46" i="47" s="1"/>
  <c r="D46" i="48"/>
  <c r="E46" i="48" s="1"/>
  <c r="E47" i="13"/>
  <c r="F47" i="13" s="1"/>
  <c r="H47" i="13" s="1"/>
  <c r="B47" i="13"/>
  <c r="H47" i="44"/>
  <c r="G47" i="44"/>
  <c r="D48" i="44"/>
  <c r="D52" i="27"/>
  <c r="G51" i="27"/>
  <c r="E52" i="27"/>
  <c r="H51" i="27"/>
  <c r="H46" i="41"/>
  <c r="I46" i="41" s="1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J128" i="13"/>
  <c r="G129" i="13"/>
  <c r="D130" i="13"/>
  <c r="E130" i="13" s="1"/>
  <c r="I47" i="49" l="1"/>
  <c r="E135" i="49"/>
  <c r="F135" i="49" s="1"/>
  <c r="D136" i="49" s="1"/>
  <c r="B136" i="49" s="1"/>
  <c r="E136" i="48"/>
  <c r="F136" i="48" s="1"/>
  <c r="B136" i="48"/>
  <c r="I134" i="49"/>
  <c r="H134" i="49"/>
  <c r="H135" i="48"/>
  <c r="I135" i="48"/>
  <c r="F46" i="47"/>
  <c r="G46" i="47" s="1"/>
  <c r="B46" i="47"/>
  <c r="H46" i="47"/>
  <c r="E49" i="49"/>
  <c r="F49" i="49" s="1"/>
  <c r="D50" i="49" s="1"/>
  <c r="B49" i="49"/>
  <c r="H48" i="49"/>
  <c r="B46" i="48"/>
  <c r="F46" i="48"/>
  <c r="G48" i="49"/>
  <c r="G47" i="13"/>
  <c r="I47" i="13" s="1"/>
  <c r="D48" i="13"/>
  <c r="I47" i="44"/>
  <c r="E48" i="44"/>
  <c r="F48" i="44" s="1"/>
  <c r="B48" i="44"/>
  <c r="I49" i="30"/>
  <c r="I51" i="27"/>
  <c r="I54" i="22"/>
  <c r="I50" i="29"/>
  <c r="I59" i="10"/>
  <c r="I50" i="31"/>
  <c r="I58" i="7"/>
  <c r="I46" i="40"/>
  <c r="B52" i="27"/>
  <c r="F52" i="27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H58" i="9"/>
  <c r="D59" i="9"/>
  <c r="E59" i="9" s="1"/>
  <c r="B55" i="22"/>
  <c r="F55" i="22"/>
  <c r="B51" i="29"/>
  <c r="F51" i="29"/>
  <c r="I47" i="38"/>
  <c r="F54" i="23"/>
  <c r="B54" i="23"/>
  <c r="B130" i="13"/>
  <c r="F130" i="13"/>
  <c r="H129" i="13"/>
  <c r="I129" i="13"/>
  <c r="G135" i="49" l="1"/>
  <c r="I46" i="47"/>
  <c r="E136" i="49"/>
  <c r="F136" i="49" s="1"/>
  <c r="G136" i="48"/>
  <c r="D137" i="48"/>
  <c r="B137" i="48" s="1"/>
  <c r="H135" i="49"/>
  <c r="I135" i="49"/>
  <c r="E50" i="49"/>
  <c r="F50" i="49" s="1"/>
  <c r="H50" i="49" s="1"/>
  <c r="B50" i="49"/>
  <c r="H49" i="49"/>
  <c r="H46" i="48"/>
  <c r="D47" i="48"/>
  <c r="E47" i="48" s="1"/>
  <c r="I48" i="49"/>
  <c r="G49" i="49"/>
  <c r="G46" i="48"/>
  <c r="D47" i="47"/>
  <c r="E47" i="47" s="1"/>
  <c r="E48" i="13"/>
  <c r="F48" i="13" s="1"/>
  <c r="H48" i="13" s="1"/>
  <c r="B48" i="13"/>
  <c r="G48" i="44"/>
  <c r="D49" i="44"/>
  <c r="H48" i="44"/>
  <c r="I58" i="9"/>
  <c r="H47" i="40"/>
  <c r="I47" i="40" s="1"/>
  <c r="G48" i="39"/>
  <c r="I48" i="39" s="1"/>
  <c r="G47" i="41"/>
  <c r="I47" i="41" s="1"/>
  <c r="D53" i="27"/>
  <c r="H52" i="27"/>
  <c r="E53" i="27"/>
  <c r="G52" i="27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 s="1"/>
  <c r="H59" i="7"/>
  <c r="D60" i="7"/>
  <c r="G59" i="7"/>
  <c r="E60" i="7"/>
  <c r="G50" i="30"/>
  <c r="H50" i="30"/>
  <c r="D51" i="30"/>
  <c r="E51" i="30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E57" i="5" s="1"/>
  <c r="G56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 s="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J129" i="13"/>
  <c r="G130" i="13"/>
  <c r="D131" i="13"/>
  <c r="I46" i="48" l="1"/>
  <c r="E137" i="48"/>
  <c r="F137" i="48" s="1"/>
  <c r="D138" i="48" s="1"/>
  <c r="G50" i="49"/>
  <c r="I50" i="49" s="1"/>
  <c r="I136" i="48"/>
  <c r="H136" i="48"/>
  <c r="G136" i="49"/>
  <c r="D137" i="49"/>
  <c r="B137" i="49" s="1"/>
  <c r="F47" i="48"/>
  <c r="H47" i="48" s="1"/>
  <c r="B47" i="48"/>
  <c r="B47" i="47"/>
  <c r="F47" i="47"/>
  <c r="H47" i="47" s="1"/>
  <c r="I49" i="49"/>
  <c r="E51" i="49"/>
  <c r="D51" i="49"/>
  <c r="G48" i="13"/>
  <c r="I48" i="13" s="1"/>
  <c r="D49" i="13"/>
  <c r="I48" i="44"/>
  <c r="E49" i="44"/>
  <c r="F49" i="44" s="1"/>
  <c r="B49" i="44"/>
  <c r="I56" i="4"/>
  <c r="I52" i="27"/>
  <c r="I59" i="7"/>
  <c r="F53" i="27"/>
  <c r="B53" i="27"/>
  <c r="I55" i="22"/>
  <c r="I50" i="30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I60" i="10"/>
  <c r="I54" i="23"/>
  <c r="I53" i="24"/>
  <c r="I55" i="25"/>
  <c r="H130" i="13"/>
  <c r="I130" i="13"/>
  <c r="B131" i="13"/>
  <c r="E131" i="13"/>
  <c r="F131" i="13" s="1"/>
  <c r="G137" i="48" l="1"/>
  <c r="G47" i="47"/>
  <c r="I47" i="47" s="1"/>
  <c r="G47" i="48"/>
  <c r="I47" i="48" s="1"/>
  <c r="E137" i="49"/>
  <c r="F137" i="49" s="1"/>
  <c r="E138" i="48"/>
  <c r="F138" i="48" s="1"/>
  <c r="B138" i="48"/>
  <c r="I136" i="49"/>
  <c r="H136" i="49"/>
  <c r="I137" i="48"/>
  <c r="H137" i="48"/>
  <c r="B51" i="49"/>
  <c r="F51" i="49"/>
  <c r="G51" i="49" s="1"/>
  <c r="D48" i="47"/>
  <c r="E48" i="47" s="1"/>
  <c r="D48" i="48"/>
  <c r="E48" i="48" s="1"/>
  <c r="E49" i="13"/>
  <c r="F49" i="13" s="1"/>
  <c r="B49" i="13"/>
  <c r="H49" i="44"/>
  <c r="D50" i="44"/>
  <c r="G49" i="44"/>
  <c r="G49" i="38"/>
  <c r="I49" i="38" s="1"/>
  <c r="H48" i="40"/>
  <c r="I48" i="40" s="1"/>
  <c r="G50" i="37"/>
  <c r="I50" i="37" s="1"/>
  <c r="I59" i="9"/>
  <c r="I48" i="46"/>
  <c r="G53" i="27"/>
  <c r="H53" i="27"/>
  <c r="D54" i="27"/>
  <c r="D50" i="45"/>
  <c r="E50" i="45" s="1"/>
  <c r="H49" i="45"/>
  <c r="G49" i="45"/>
  <c r="F60" i="9"/>
  <c r="B60" i="9"/>
  <c r="D53" i="31"/>
  <c r="E53" i="31" s="1"/>
  <c r="G52" i="31"/>
  <c r="H52" i="31"/>
  <c r="H52" i="29"/>
  <c r="G52" i="29"/>
  <c r="D53" i="29"/>
  <c r="E53" i="29"/>
  <c r="H60" i="7"/>
  <c r="D61" i="7"/>
  <c r="E61" i="7" s="1"/>
  <c r="G60" i="7"/>
  <c r="D49" i="42"/>
  <c r="E49" i="42" s="1"/>
  <c r="B49" i="46"/>
  <c r="D50" i="39"/>
  <c r="E50" i="39"/>
  <c r="D48" i="43"/>
  <c r="E48" i="43"/>
  <c r="G54" i="24"/>
  <c r="D55" i="24"/>
  <c r="H54" i="24"/>
  <c r="E55" i="24"/>
  <c r="H59" i="11"/>
  <c r="D60" i="11"/>
  <c r="E60" i="11" s="1"/>
  <c r="G59" i="11"/>
  <c r="H61" i="10"/>
  <c r="D62" i="10"/>
  <c r="E62" i="10" s="1"/>
  <c r="G61" i="10"/>
  <c r="H56" i="22"/>
  <c r="D57" i="22"/>
  <c r="E57" i="22" s="1"/>
  <c r="G56" i="22"/>
  <c r="H49" i="39"/>
  <c r="G57" i="4"/>
  <c r="H57" i="4"/>
  <c r="D58" i="4"/>
  <c r="E58" i="4" s="1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30" i="13"/>
  <c r="J155" i="13" s="1"/>
  <c r="G131" i="13"/>
  <c r="D132" i="13"/>
  <c r="D139" i="48" l="1"/>
  <c r="G138" i="48"/>
  <c r="G137" i="49"/>
  <c r="D138" i="49"/>
  <c r="E138" i="49" s="1"/>
  <c r="B48" i="47"/>
  <c r="F48" i="47"/>
  <c r="G48" i="47" s="1"/>
  <c r="H51" i="49"/>
  <c r="I51" i="49" s="1"/>
  <c r="E52" i="49"/>
  <c r="D52" i="49"/>
  <c r="F48" i="48"/>
  <c r="G48" i="48" s="1"/>
  <c r="B48" i="48"/>
  <c r="G49" i="13"/>
  <c r="D50" i="13"/>
  <c r="H49" i="13"/>
  <c r="I53" i="27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D50" i="46"/>
  <c r="E50" i="46" s="1"/>
  <c r="G49" i="46"/>
  <c r="H49" i="46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B132" i="13"/>
  <c r="I131" i="13"/>
  <c r="H131" i="13"/>
  <c r="E132" i="13"/>
  <c r="F132" i="13" s="1"/>
  <c r="H137" i="49" l="1"/>
  <c r="I137" i="49"/>
  <c r="H138" i="48"/>
  <c r="I138" i="48"/>
  <c r="F138" i="49"/>
  <c r="B138" i="49"/>
  <c r="E139" i="48"/>
  <c r="F139" i="48"/>
  <c r="B139" i="48"/>
  <c r="F52" i="49"/>
  <c r="B52" i="49"/>
  <c r="D49" i="47"/>
  <c r="E49" i="47" s="1"/>
  <c r="H48" i="47"/>
  <c r="I48" i="47" s="1"/>
  <c r="H48" i="48"/>
  <c r="I48" i="48" s="1"/>
  <c r="D49" i="48"/>
  <c r="E49" i="48"/>
  <c r="I49" i="13"/>
  <c r="E50" i="13"/>
  <c r="F50" i="13" s="1"/>
  <c r="B50" i="13"/>
  <c r="H50" i="44"/>
  <c r="D51" i="44"/>
  <c r="G50" i="44"/>
  <c r="I49" i="46"/>
  <c r="G51" i="37"/>
  <c r="I51" i="37" s="1"/>
  <c r="G50" i="45"/>
  <c r="I50" i="45" s="1"/>
  <c r="D55" i="27"/>
  <c r="G54" i="27"/>
  <c r="H54" i="27"/>
  <c r="H49" i="40"/>
  <c r="I49" i="40" s="1"/>
  <c r="H49" i="41"/>
  <c r="I49" i="41" s="1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E59" i="4" s="1"/>
  <c r="G58" i="4"/>
  <c r="H58" i="4"/>
  <c r="G56" i="23"/>
  <c r="D57" i="23"/>
  <c r="E57" i="23" s="1"/>
  <c r="H56" i="23"/>
  <c r="I60" i="9"/>
  <c r="D50" i="40"/>
  <c r="E50" i="40" s="1"/>
  <c r="D50" i="41"/>
  <c r="E50" i="41" s="1"/>
  <c r="H50" i="38"/>
  <c r="I50" i="38" s="1"/>
  <c r="H49" i="42"/>
  <c r="D60" i="8"/>
  <c r="E60" i="8" s="1"/>
  <c r="G59" i="8"/>
  <c r="H59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E61" i="11" s="1"/>
  <c r="G60" i="11"/>
  <c r="H58" i="3"/>
  <c r="D59" i="3"/>
  <c r="E59" i="3" s="1"/>
  <c r="G58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F50" i="46"/>
  <c r="B50" i="46"/>
  <c r="D133" i="13"/>
  <c r="E133" i="13" s="1"/>
  <c r="G132" i="13"/>
  <c r="D140" i="48" l="1"/>
  <c r="B140" i="48" s="1"/>
  <c r="G139" i="48"/>
  <c r="G138" i="49"/>
  <c r="D139" i="49"/>
  <c r="B49" i="47"/>
  <c r="F49" i="47"/>
  <c r="H49" i="47" s="1"/>
  <c r="E53" i="49"/>
  <c r="D53" i="49"/>
  <c r="F49" i="48"/>
  <c r="B49" i="48"/>
  <c r="H52" i="49"/>
  <c r="G52" i="49"/>
  <c r="D51" i="13"/>
  <c r="H50" i="13"/>
  <c r="G50" i="13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B133" i="13"/>
  <c r="F133" i="13"/>
  <c r="I132" i="13"/>
  <c r="H132" i="13"/>
  <c r="E140" i="48" l="1"/>
  <c r="F140" i="48" s="1"/>
  <c r="G49" i="47"/>
  <c r="I52" i="49"/>
  <c r="I49" i="47"/>
  <c r="I138" i="49"/>
  <c r="H138" i="49"/>
  <c r="H139" i="48"/>
  <c r="I139" i="48"/>
  <c r="D141" i="48"/>
  <c r="G140" i="48"/>
  <c r="E139" i="49"/>
  <c r="F139" i="49" s="1"/>
  <c r="B139" i="49"/>
  <c r="D50" i="48"/>
  <c r="E50" i="48" s="1"/>
  <c r="H49" i="48"/>
  <c r="B53" i="49"/>
  <c r="F53" i="49"/>
  <c r="G53" i="49" s="1"/>
  <c r="D50" i="47"/>
  <c r="E50" i="47" s="1"/>
  <c r="G49" i="48"/>
  <c r="I50" i="13"/>
  <c r="E51" i="13"/>
  <c r="F51" i="13" s="1"/>
  <c r="B51" i="13"/>
  <c r="H51" i="44"/>
  <c r="G51" i="44"/>
  <c r="D52" i="44"/>
  <c r="H51" i="45"/>
  <c r="I51" i="45" s="1"/>
  <c r="H52" i="37"/>
  <c r="I52" i="37" s="1"/>
  <c r="G50" i="40"/>
  <c r="I50" i="40" s="1"/>
  <c r="H55" i="27"/>
  <c r="D56" i="27"/>
  <c r="E56" i="27" s="1"/>
  <c r="G55" i="27"/>
  <c r="I61" i="9"/>
  <c r="H57" i="23"/>
  <c r="D58" i="23"/>
  <c r="E58" i="23" s="1"/>
  <c r="G57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E61" i="6" s="1"/>
  <c r="G60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E60" i="3" s="1"/>
  <c r="H59" i="3"/>
  <c r="G51" i="39"/>
  <c r="G54" i="31"/>
  <c r="D55" i="31"/>
  <c r="E55" i="31" s="1"/>
  <c r="H54" i="31"/>
  <c r="D51" i="40"/>
  <c r="E51" i="40"/>
  <c r="G56" i="24"/>
  <c r="D57" i="24"/>
  <c r="E57" i="24" s="1"/>
  <c r="H56" i="24"/>
  <c r="G58" i="22"/>
  <c r="H58" i="22"/>
  <c r="D59" i="22"/>
  <c r="E59" i="22" s="1"/>
  <c r="D55" i="29"/>
  <c r="E55" i="29" s="1"/>
  <c r="G54" i="29"/>
  <c r="H54" i="29"/>
  <c r="D50" i="43"/>
  <c r="E50" i="43" s="1"/>
  <c r="D61" i="8"/>
  <c r="E61" i="8" s="1"/>
  <c r="G60" i="8"/>
  <c r="H60" i="8"/>
  <c r="H51" i="39"/>
  <c r="B62" i="9"/>
  <c r="F62" i="9"/>
  <c r="D53" i="37"/>
  <c r="E53" i="37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H53" i="49" l="1"/>
  <c r="I49" i="48"/>
  <c r="D140" i="49"/>
  <c r="B140" i="49" s="1"/>
  <c r="G139" i="49"/>
  <c r="I140" i="48"/>
  <c r="H140" i="48"/>
  <c r="E141" i="48"/>
  <c r="F141" i="48" s="1"/>
  <c r="B141" i="48"/>
  <c r="I53" i="49"/>
  <c r="F50" i="48"/>
  <c r="H50" i="48" s="1"/>
  <c r="B50" i="48"/>
  <c r="B50" i="47"/>
  <c r="F50" i="47"/>
  <c r="H50" i="47" s="1"/>
  <c r="E54" i="49"/>
  <c r="D54" i="49"/>
  <c r="G51" i="13"/>
  <c r="D52" i="13"/>
  <c r="H51" i="13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 s="1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B134" i="13"/>
  <c r="E134" i="13"/>
  <c r="F134" i="13" s="1"/>
  <c r="H133" i="13"/>
  <c r="I133" i="13"/>
  <c r="E140" i="49" l="1"/>
  <c r="F140" i="49" s="1"/>
  <c r="G140" i="49" s="1"/>
  <c r="D142" i="48"/>
  <c r="G141" i="48"/>
  <c r="H139" i="49"/>
  <c r="I139" i="49"/>
  <c r="F54" i="49"/>
  <c r="G54" i="49" s="1"/>
  <c r="B54" i="49"/>
  <c r="D51" i="47"/>
  <c r="E51" i="47" s="1"/>
  <c r="D51" i="48"/>
  <c r="E51" i="48" s="1"/>
  <c r="G50" i="47"/>
  <c r="I50" i="47" s="1"/>
  <c r="G50" i="48"/>
  <c r="I50" i="48" s="1"/>
  <c r="I51" i="13"/>
  <c r="B52" i="13"/>
  <c r="E52" i="13"/>
  <c r="F52" i="13" s="1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E60" i="22" s="1"/>
  <c r="H59" i="22"/>
  <c r="G59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E59" i="23" s="1"/>
  <c r="G58" i="23"/>
  <c r="H58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 s="1"/>
  <c r="H51" i="42"/>
  <c r="I51" i="42" s="1"/>
  <c r="D53" i="38"/>
  <c r="E53" i="38" s="1"/>
  <c r="B63" i="9"/>
  <c r="F63" i="9"/>
  <c r="E52" i="46"/>
  <c r="F52" i="46" s="1"/>
  <c r="D135" i="13"/>
  <c r="G134" i="13"/>
  <c r="D141" i="49" l="1"/>
  <c r="H54" i="49"/>
  <c r="I54" i="49" s="1"/>
  <c r="I141" i="48"/>
  <c r="H141" i="48"/>
  <c r="E142" i="48"/>
  <c r="F142" i="48" s="1"/>
  <c r="B142" i="48"/>
  <c r="E141" i="49"/>
  <c r="F141" i="49" s="1"/>
  <c r="B141" i="49"/>
  <c r="I140" i="49"/>
  <c r="H140" i="49"/>
  <c r="F51" i="48"/>
  <c r="H51" i="48" s="1"/>
  <c r="B51" i="48"/>
  <c r="B51" i="47"/>
  <c r="F51" i="47"/>
  <c r="H51" i="47" s="1"/>
  <c r="D55" i="49"/>
  <c r="E55" i="49" s="1"/>
  <c r="G52" i="13"/>
  <c r="D53" i="13"/>
  <c r="H52" i="13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B135" i="13"/>
  <c r="I134" i="13"/>
  <c r="H134" i="13"/>
  <c r="E135" i="13"/>
  <c r="F135" i="13" s="1"/>
  <c r="G51" i="48" l="1"/>
  <c r="I51" i="48" s="1"/>
  <c r="G51" i="47"/>
  <c r="I51" i="47" s="1"/>
  <c r="G142" i="48"/>
  <c r="D143" i="48"/>
  <c r="G141" i="49"/>
  <c r="D142" i="49"/>
  <c r="D52" i="47"/>
  <c r="E52" i="47" s="1"/>
  <c r="F55" i="49"/>
  <c r="H55" i="49" s="1"/>
  <c r="B55" i="49"/>
  <c r="D52" i="48"/>
  <c r="E52" i="48" s="1"/>
  <c r="I52" i="13"/>
  <c r="E53" i="13"/>
  <c r="F53" i="13" s="1"/>
  <c r="B53" i="13"/>
  <c r="G52" i="41"/>
  <c r="I52" i="41" s="1"/>
  <c r="D54" i="44"/>
  <c r="H53" i="44"/>
  <c r="G53" i="44"/>
  <c r="I52" i="46"/>
  <c r="G51" i="43"/>
  <c r="I51" i="43" s="1"/>
  <c r="I63" i="9"/>
  <c r="D58" i="27"/>
  <c r="E58" i="27" s="1"/>
  <c r="G57" i="27"/>
  <c r="H57" i="27"/>
  <c r="H53" i="45"/>
  <c r="I53" i="45" s="1"/>
  <c r="H53" i="39"/>
  <c r="I53" i="39" s="1"/>
  <c r="G52" i="42"/>
  <c r="I52" i="42" s="1"/>
  <c r="H54" i="37"/>
  <c r="I54" i="37" s="1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E63" i="6" s="1"/>
  <c r="H62" i="6"/>
  <c r="D54" i="39"/>
  <c r="E54" i="39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E59" i="24" s="1"/>
  <c r="H58" i="24"/>
  <c r="H61" i="3"/>
  <c r="D62" i="3"/>
  <c r="E62" i="3" s="1"/>
  <c r="G61" i="3"/>
  <c r="H64" i="7"/>
  <c r="D65" i="7"/>
  <c r="G64" i="7"/>
  <c r="H53" i="38"/>
  <c r="I53" i="38" s="1"/>
  <c r="D53" i="42"/>
  <c r="E53" i="42"/>
  <c r="D55" i="37"/>
  <c r="E55" i="37"/>
  <c r="F53" i="46"/>
  <c r="B53" i="46"/>
  <c r="G135" i="13"/>
  <c r="D136" i="13"/>
  <c r="G55" i="49" l="1"/>
  <c r="H141" i="49"/>
  <c r="I141" i="49"/>
  <c r="E143" i="48"/>
  <c r="F143" i="48" s="1"/>
  <c r="B143" i="48"/>
  <c r="E142" i="49"/>
  <c r="F142" i="49" s="1"/>
  <c r="B142" i="49"/>
  <c r="I142" i="48"/>
  <c r="H142" i="48"/>
  <c r="F52" i="47"/>
  <c r="G52" i="47" s="1"/>
  <c r="B52" i="47"/>
  <c r="B52" i="48"/>
  <c r="F52" i="48"/>
  <c r="G52" i="48" s="1"/>
  <c r="D56" i="49"/>
  <c r="E56" i="49" s="1"/>
  <c r="I55" i="49"/>
  <c r="H53" i="13"/>
  <c r="G53" i="13"/>
  <c r="D54" i="13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D54" i="46"/>
  <c r="B65" i="7"/>
  <c r="F62" i="3"/>
  <c r="B62" i="3"/>
  <c r="F59" i="24"/>
  <c r="B59" i="24"/>
  <c r="F52" i="43"/>
  <c r="H52" i="43" s="1"/>
  <c r="B52" i="43"/>
  <c r="B56" i="30"/>
  <c r="F56" i="30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6" i="13"/>
  <c r="E136" i="13"/>
  <c r="F136" i="13" s="1"/>
  <c r="H135" i="13"/>
  <c r="I135" i="13"/>
  <c r="H52" i="47" l="1"/>
  <c r="I52" i="47" s="1"/>
  <c r="D144" i="48"/>
  <c r="G143" i="48"/>
  <c r="D143" i="49"/>
  <c r="G142" i="49"/>
  <c r="H52" i="48"/>
  <c r="I52" i="48" s="1"/>
  <c r="D53" i="48"/>
  <c r="E53" i="48"/>
  <c r="B56" i="49"/>
  <c r="F56" i="49"/>
  <c r="D57" i="49" s="1"/>
  <c r="D53" i="47"/>
  <c r="E53" i="47" s="1"/>
  <c r="I53" i="13"/>
  <c r="E54" i="13"/>
  <c r="F54" i="13" s="1"/>
  <c r="B54" i="1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66" i="7"/>
  <c r="E66" i="7" s="1"/>
  <c r="G65" i="7"/>
  <c r="H65" i="7"/>
  <c r="G57" i="31"/>
  <c r="D58" i="31"/>
  <c r="E58" i="31" s="1"/>
  <c r="H57" i="31"/>
  <c r="D62" i="25"/>
  <c r="E62" i="25" s="1"/>
  <c r="G61" i="25"/>
  <c r="H61" i="25"/>
  <c r="D54" i="41"/>
  <c r="E54" i="41" s="1"/>
  <c r="H61" i="22"/>
  <c r="D62" i="22"/>
  <c r="E62" i="22" s="1"/>
  <c r="G61" i="22"/>
  <c r="H63" i="6"/>
  <c r="G63" i="6"/>
  <c r="D64" i="6"/>
  <c r="E64" i="6" s="1"/>
  <c r="D54" i="42"/>
  <c r="E54" i="42" s="1"/>
  <c r="B65" i="9"/>
  <c r="G60" i="23"/>
  <c r="H60" i="23"/>
  <c r="D61" i="23"/>
  <c r="E61" i="23" s="1"/>
  <c r="G62" i="4"/>
  <c r="H62" i="4"/>
  <c r="D63" i="4"/>
  <c r="E63" i="4" s="1"/>
  <c r="E65" i="9"/>
  <c r="F65" i="9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D56" i="37"/>
  <c r="E56" i="37" s="1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 s="1"/>
  <c r="D63" i="3"/>
  <c r="E63" i="3" s="1"/>
  <c r="H62" i="3"/>
  <c r="G62" i="3"/>
  <c r="E54" i="46"/>
  <c r="F54" i="46" s="1"/>
  <c r="G136" i="13"/>
  <c r="D137" i="13"/>
  <c r="G56" i="49" l="1"/>
  <c r="E143" i="49"/>
  <c r="F143" i="49" s="1"/>
  <c r="B143" i="49"/>
  <c r="I142" i="49"/>
  <c r="H142" i="49"/>
  <c r="I143" i="48"/>
  <c r="H143" i="48"/>
  <c r="E144" i="48"/>
  <c r="F144" i="48" s="1"/>
  <c r="B144" i="48"/>
  <c r="E57" i="49"/>
  <c r="F57" i="49" s="1"/>
  <c r="B57" i="49"/>
  <c r="B53" i="47"/>
  <c r="F53" i="47"/>
  <c r="H56" i="49"/>
  <c r="I56" i="49" s="1"/>
  <c r="F53" i="48"/>
  <c r="H53" i="48" s="1"/>
  <c r="B53" i="48"/>
  <c r="H54" i="13"/>
  <c r="D55" i="13"/>
  <c r="G54" i="13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F59" i="27"/>
  <c r="I56" i="30"/>
  <c r="I57" i="28"/>
  <c r="I63" i="6"/>
  <c r="I61" i="25"/>
  <c r="I58" i="27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E137" i="13"/>
  <c r="F137" i="13" s="1"/>
  <c r="I54" i="13" l="1"/>
  <c r="G144" i="48"/>
  <c r="D145" i="48"/>
  <c r="G143" i="49"/>
  <c r="D144" i="49"/>
  <c r="D54" i="47"/>
  <c r="E54" i="47" s="1"/>
  <c r="D58" i="49"/>
  <c r="E58" i="49" s="1"/>
  <c r="H53" i="47"/>
  <c r="H57" i="49"/>
  <c r="G53" i="48"/>
  <c r="I53" i="48" s="1"/>
  <c r="D54" i="48"/>
  <c r="E54" i="48" s="1"/>
  <c r="G53" i="47"/>
  <c r="G57" i="49"/>
  <c r="E55" i="13"/>
  <c r="F55" i="13" s="1"/>
  <c r="B55" i="13"/>
  <c r="H55" i="44"/>
  <c r="D56" i="44"/>
  <c r="G55" i="44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E58" i="30" s="1"/>
  <c r="H57" i="30"/>
  <c r="G55" i="45"/>
  <c r="H64" i="8"/>
  <c r="D65" i="8"/>
  <c r="G64" i="8"/>
  <c r="D59" i="29"/>
  <c r="E59" i="29" s="1"/>
  <c r="G58" i="29"/>
  <c r="H58" i="29"/>
  <c r="G55" i="39"/>
  <c r="E66" i="9"/>
  <c r="F66" i="9" s="1"/>
  <c r="G67" i="10"/>
  <c r="H67" i="10"/>
  <c r="D68" i="10"/>
  <c r="G61" i="23"/>
  <c r="H61" i="23"/>
  <c r="D62" i="23"/>
  <c r="E62" i="2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I143" i="49" l="1"/>
  <c r="H143" i="49"/>
  <c r="E145" i="48"/>
  <c r="F145" i="48" s="1"/>
  <c r="B145" i="48"/>
  <c r="E144" i="49"/>
  <c r="F144" i="49" s="1"/>
  <c r="B144" i="49"/>
  <c r="H144" i="48"/>
  <c r="I144" i="48"/>
  <c r="I57" i="49"/>
  <c r="I53" i="47"/>
  <c r="F54" i="47"/>
  <c r="H54" i="47" s="1"/>
  <c r="B54" i="47"/>
  <c r="F54" i="48"/>
  <c r="H54" i="48" s="1"/>
  <c r="B54" i="48"/>
  <c r="F58" i="49"/>
  <c r="G58" i="49" s="1"/>
  <c r="B58" i="49"/>
  <c r="G55" i="13"/>
  <c r="D56" i="13"/>
  <c r="H55" i="13"/>
  <c r="I55" i="44"/>
  <c r="E56" i="44"/>
  <c r="F56" i="44" s="1"/>
  <c r="B56" i="44"/>
  <c r="I61" i="23"/>
  <c r="I55" i="45"/>
  <c r="I60" i="24"/>
  <c r="I67" i="10"/>
  <c r="I59" i="27"/>
  <c r="I58" i="31"/>
  <c r="I63" i="3"/>
  <c r="I62" i="25"/>
  <c r="I58" i="28"/>
  <c r="I57" i="30"/>
  <c r="I64" i="6"/>
  <c r="B60" i="27"/>
  <c r="F60" i="27"/>
  <c r="G66" i="9"/>
  <c r="H66" i="9"/>
  <c r="D67" i="9"/>
  <c r="E67" i="9" s="1"/>
  <c r="D56" i="46"/>
  <c r="E56" i="46" s="1"/>
  <c r="G55" i="46"/>
  <c r="H55" i="46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I58" i="29"/>
  <c r="E65" i="8"/>
  <c r="F65" i="8" s="1"/>
  <c r="I66" i="7"/>
  <c r="B56" i="45"/>
  <c r="F56" i="45"/>
  <c r="H56" i="45" s="1"/>
  <c r="E64" i="4"/>
  <c r="F64" i="4" s="1"/>
  <c r="B138" i="13"/>
  <c r="H137" i="13"/>
  <c r="I137" i="13"/>
  <c r="E138" i="13"/>
  <c r="F138" i="13" s="1"/>
  <c r="H58" i="49" l="1"/>
  <c r="I58" i="49" s="1"/>
  <c r="I55" i="13"/>
  <c r="D146" i="48"/>
  <c r="G145" i="48"/>
  <c r="G144" i="49"/>
  <c r="D145" i="49"/>
  <c r="B145" i="49" s="1"/>
  <c r="D55" i="47"/>
  <c r="E55" i="47" s="1"/>
  <c r="D55" i="48"/>
  <c r="E55" i="48" s="1"/>
  <c r="G54" i="48"/>
  <c r="I54" i="48" s="1"/>
  <c r="G54" i="47"/>
  <c r="I54" i="47" s="1"/>
  <c r="D59" i="49"/>
  <c r="E59" i="49" s="1"/>
  <c r="E56" i="13"/>
  <c r="F56" i="13" s="1"/>
  <c r="G56" i="13" s="1"/>
  <c r="B56" i="13"/>
  <c r="I55" i="46"/>
  <c r="I66" i="9"/>
  <c r="D57" i="44"/>
  <c r="G56" i="44"/>
  <c r="H56" i="44"/>
  <c r="G56" i="39"/>
  <c r="I56" i="39" s="1"/>
  <c r="G56" i="45"/>
  <c r="I56" i="45" s="1"/>
  <c r="G54" i="43"/>
  <c r="I54" i="43" s="1"/>
  <c r="G60" i="27"/>
  <c r="H60" i="27"/>
  <c r="D61" i="27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E62" i="24" s="1"/>
  <c r="H61" i="24"/>
  <c r="D58" i="37"/>
  <c r="E58" i="37" s="1"/>
  <c r="G59" i="28"/>
  <c r="H59" i="28"/>
  <c r="D60" i="28"/>
  <c r="E60" i="28" s="1"/>
  <c r="D56" i="42"/>
  <c r="E56" i="42" s="1"/>
  <c r="G58" i="30"/>
  <c r="H58" i="30"/>
  <c r="D59" i="30"/>
  <c r="E59" i="30" s="1"/>
  <c r="D56" i="41"/>
  <c r="E56" i="41" s="1"/>
  <c r="H56" i="38"/>
  <c r="I56" i="38" s="1"/>
  <c r="G57" i="37"/>
  <c r="D56" i="40"/>
  <c r="E56" i="40" s="1"/>
  <c r="H63" i="25"/>
  <c r="D64" i="25"/>
  <c r="E64" i="25" s="1"/>
  <c r="G63" i="25"/>
  <c r="H62" i="23"/>
  <c r="G62" i="23"/>
  <c r="D63" i="23"/>
  <c r="E63" i="23" s="1"/>
  <c r="F67" i="9"/>
  <c r="B67" i="9"/>
  <c r="D57" i="45"/>
  <c r="E57" i="45" s="1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E60" i="29" s="1"/>
  <c r="G59" i="29"/>
  <c r="H57" i="37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 s="1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E145" i="49" l="1"/>
  <c r="F145" i="49" s="1"/>
  <c r="G145" i="49" s="1"/>
  <c r="I144" i="49"/>
  <c r="H144" i="49"/>
  <c r="I145" i="48"/>
  <c r="H145" i="48"/>
  <c r="E146" i="48"/>
  <c r="F146" i="48" s="1"/>
  <c r="B146" i="48"/>
  <c r="F55" i="48"/>
  <c r="H55" i="48" s="1"/>
  <c r="B55" i="48"/>
  <c r="B55" i="47"/>
  <c r="F55" i="47"/>
  <c r="H55" i="47" s="1"/>
  <c r="F59" i="49"/>
  <c r="B59" i="49"/>
  <c r="I57" i="37"/>
  <c r="H56" i="13"/>
  <c r="I56" i="13" s="1"/>
  <c r="D57" i="13"/>
  <c r="I56" i="44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I138" i="13"/>
  <c r="H138" i="13"/>
  <c r="B139" i="13"/>
  <c r="F139" i="13"/>
  <c r="G55" i="48" l="1"/>
  <c r="I55" i="48" s="1"/>
  <c r="D146" i="49"/>
  <c r="B146" i="49" s="1"/>
  <c r="D147" i="48"/>
  <c r="G146" i="48"/>
  <c r="H145" i="49"/>
  <c r="I145" i="49"/>
  <c r="D60" i="49"/>
  <c r="E60" i="49" s="1"/>
  <c r="F60" i="49" s="1"/>
  <c r="D61" i="49" s="1"/>
  <c r="G59" i="49"/>
  <c r="H59" i="49"/>
  <c r="G55" i="47"/>
  <c r="I55" i="47" s="1"/>
  <c r="D56" i="47"/>
  <c r="E56" i="47" s="1"/>
  <c r="D56" i="48"/>
  <c r="E56" i="48" s="1"/>
  <c r="E57" i="13"/>
  <c r="F57" i="13" s="1"/>
  <c r="B57" i="13"/>
  <c r="H57" i="44"/>
  <c r="D58" i="44"/>
  <c r="G57" i="44"/>
  <c r="H61" i="27"/>
  <c r="D62" i="27"/>
  <c r="B62" i="27" s="1"/>
  <c r="G61" i="27"/>
  <c r="H56" i="41"/>
  <c r="I56" i="41" s="1"/>
  <c r="G56" i="40"/>
  <c r="I56" i="40" s="1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D59" i="37"/>
  <c r="E59" i="37" s="1"/>
  <c r="D57" i="42"/>
  <c r="E57" i="42" s="1"/>
  <c r="D61" i="31"/>
  <c r="E61" i="31" s="1"/>
  <c r="H60" i="31"/>
  <c r="G60" i="31"/>
  <c r="D57" i="40"/>
  <c r="E57" i="40" s="1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 s="1"/>
  <c r="D66" i="4"/>
  <c r="G65" i="4"/>
  <c r="H65" i="4"/>
  <c r="D63" i="24"/>
  <c r="E63" i="24" s="1"/>
  <c r="G62" i="24"/>
  <c r="H62" i="24"/>
  <c r="I67" i="9"/>
  <c r="F57" i="46"/>
  <c r="H57" i="46" s="1"/>
  <c r="B57" i="46"/>
  <c r="G64" i="25"/>
  <c r="H64" i="25"/>
  <c r="D65" i="25"/>
  <c r="E65" i="25" s="1"/>
  <c r="G139" i="13"/>
  <c r="D140" i="13"/>
  <c r="E140" i="13" s="1"/>
  <c r="E146" i="49" l="1"/>
  <c r="I59" i="49"/>
  <c r="F146" i="49"/>
  <c r="I146" i="48"/>
  <c r="H146" i="48"/>
  <c r="E147" i="48"/>
  <c r="B147" i="48"/>
  <c r="B56" i="47"/>
  <c r="F56" i="47"/>
  <c r="H56" i="47" s="1"/>
  <c r="E61" i="49"/>
  <c r="F61" i="49" s="1"/>
  <c r="H61" i="49" s="1"/>
  <c r="B61" i="49"/>
  <c r="F56" i="48"/>
  <c r="G56" i="48" s="1"/>
  <c r="B56" i="48"/>
  <c r="B60" i="49"/>
  <c r="G60" i="49"/>
  <c r="H60" i="49"/>
  <c r="H57" i="13"/>
  <c r="D58" i="13"/>
  <c r="G57" i="13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139" i="13"/>
  <c r="I139" i="13"/>
  <c r="F140" i="13"/>
  <c r="B140" i="13"/>
  <c r="I60" i="49" l="1"/>
  <c r="G56" i="47"/>
  <c r="I56" i="47" s="1"/>
  <c r="F147" i="48"/>
  <c r="D147" i="49"/>
  <c r="G146" i="49"/>
  <c r="G61" i="49"/>
  <c r="I61" i="49" s="1"/>
  <c r="D62" i="49"/>
  <c r="D57" i="47"/>
  <c r="E57" i="47" s="1"/>
  <c r="H56" i="48"/>
  <c r="I56" i="48" s="1"/>
  <c r="D57" i="48"/>
  <c r="E57" i="48" s="1"/>
  <c r="H58" i="45"/>
  <c r="I58" i="45" s="1"/>
  <c r="I57" i="13"/>
  <c r="B58" i="13"/>
  <c r="E58" i="13"/>
  <c r="F58" i="13" s="1"/>
  <c r="H57" i="40"/>
  <c r="I57" i="40" s="1"/>
  <c r="H58" i="44"/>
  <c r="D59" i="44"/>
  <c r="G58" i="44"/>
  <c r="I68" i="9"/>
  <c r="H57" i="42"/>
  <c r="I57" i="42" s="1"/>
  <c r="H58" i="39"/>
  <c r="I58" i="39" s="1"/>
  <c r="G59" i="37"/>
  <c r="I59" i="37" s="1"/>
  <c r="G58" i="38"/>
  <c r="I58" i="38" s="1"/>
  <c r="H62" i="27"/>
  <c r="D63" i="27"/>
  <c r="B63" i="27" s="1"/>
  <c r="G62" i="27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 s="1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G56" i="43"/>
  <c r="G61" i="29"/>
  <c r="H61" i="29"/>
  <c r="D62" i="29"/>
  <c r="E62" i="29" s="1"/>
  <c r="D59" i="38"/>
  <c r="E59" i="38" s="1"/>
  <c r="D64" i="24"/>
  <c r="E64" i="24" s="1"/>
  <c r="H63" i="24"/>
  <c r="G63" i="24"/>
  <c r="H67" i="8"/>
  <c r="G67" i="8"/>
  <c r="D68" i="8"/>
  <c r="D59" i="45"/>
  <c r="E59" i="45" s="1"/>
  <c r="D58" i="42"/>
  <c r="E58" i="42" s="1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 s="1"/>
  <c r="D62" i="28"/>
  <c r="E62" i="28" s="1"/>
  <c r="G61" i="28"/>
  <c r="H61" i="28"/>
  <c r="D59" i="39"/>
  <c r="E59" i="39" s="1"/>
  <c r="H56" i="43"/>
  <c r="D141" i="13"/>
  <c r="G140" i="13"/>
  <c r="H146" i="49" l="1"/>
  <c r="I146" i="49"/>
  <c r="E147" i="49"/>
  <c r="B147" i="49"/>
  <c r="D148" i="48"/>
  <c r="B148" i="48" s="1"/>
  <c r="G147" i="48"/>
  <c r="F57" i="48"/>
  <c r="G57" i="48" s="1"/>
  <c r="B57" i="48"/>
  <c r="E62" i="49"/>
  <c r="F62" i="49" s="1"/>
  <c r="B62" i="49"/>
  <c r="B57" i="47"/>
  <c r="F57" i="47"/>
  <c r="I66" i="4"/>
  <c r="D59" i="13"/>
  <c r="G58" i="13"/>
  <c r="H58" i="13"/>
  <c r="E59" i="44"/>
  <c r="F59" i="44" s="1"/>
  <c r="B59" i="44"/>
  <c r="I58" i="44"/>
  <c r="I56" i="43"/>
  <c r="I61" i="29"/>
  <c r="I62" i="27"/>
  <c r="I65" i="25"/>
  <c r="E63" i="27"/>
  <c r="F63" i="27" s="1"/>
  <c r="I61" i="28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H140" i="13"/>
  <c r="I140" i="13"/>
  <c r="E141" i="13"/>
  <c r="F141" i="13" s="1"/>
  <c r="E148" i="48" l="1"/>
  <c r="H57" i="48"/>
  <c r="I57" i="48" s="1"/>
  <c r="F147" i="49"/>
  <c r="H147" i="48"/>
  <c r="I147" i="48"/>
  <c r="F148" i="48"/>
  <c r="D63" i="49"/>
  <c r="E63" i="49" s="1"/>
  <c r="G62" i="49"/>
  <c r="G57" i="47"/>
  <c r="D58" i="47"/>
  <c r="E58" i="47" s="1"/>
  <c r="H57" i="47"/>
  <c r="H62" i="49"/>
  <c r="D58" i="48"/>
  <c r="E58" i="48" s="1"/>
  <c r="I58" i="13"/>
  <c r="E59" i="13"/>
  <c r="F59" i="13" s="1"/>
  <c r="B59" i="13"/>
  <c r="G59" i="39"/>
  <c r="G59" i="44"/>
  <c r="H59" i="44"/>
  <c r="D60" i="44"/>
  <c r="G58" i="42"/>
  <c r="I58" i="42" s="1"/>
  <c r="G59" i="38"/>
  <c r="I59" i="38" s="1"/>
  <c r="H57" i="43"/>
  <c r="I57" i="43" s="1"/>
  <c r="I58" i="46"/>
  <c r="I59" i="39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 s="1"/>
  <c r="D71" i="7"/>
  <c r="E71" i="7" s="1"/>
  <c r="G70" i="7"/>
  <c r="H70" i="7"/>
  <c r="G61" i="30"/>
  <c r="D62" i="30"/>
  <c r="E62" i="30" s="1"/>
  <c r="H61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 s="1"/>
  <c r="D60" i="38"/>
  <c r="E60" i="38" s="1"/>
  <c r="H60" i="37"/>
  <c r="I60" i="37" s="1"/>
  <c r="B70" i="9"/>
  <c r="F70" i="9"/>
  <c r="D59" i="41"/>
  <c r="E59" i="41" s="1"/>
  <c r="D68" i="5"/>
  <c r="E68" i="5" s="1"/>
  <c r="G67" i="5"/>
  <c r="H67" i="5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G141" i="13"/>
  <c r="D142" i="13"/>
  <c r="E142" i="13" s="1"/>
  <c r="D149" i="48" l="1"/>
  <c r="G148" i="48"/>
  <c r="G147" i="49"/>
  <c r="D148" i="49"/>
  <c r="B148" i="49" s="1"/>
  <c r="F58" i="48"/>
  <c r="G58" i="48" s="1"/>
  <c r="B58" i="48"/>
  <c r="I57" i="47"/>
  <c r="F58" i="47"/>
  <c r="H58" i="47" s="1"/>
  <c r="B58" i="47"/>
  <c r="I62" i="49"/>
  <c r="B63" i="49"/>
  <c r="F63" i="49"/>
  <c r="H63" i="49" s="1"/>
  <c r="I59" i="44"/>
  <c r="G59" i="13"/>
  <c r="D60" i="13"/>
  <c r="H59" i="13"/>
  <c r="E60" i="44"/>
  <c r="F60" i="44" s="1"/>
  <c r="B60" i="44"/>
  <c r="I64" i="24"/>
  <c r="I67" i="3"/>
  <c r="I66" i="22"/>
  <c r="I70" i="7"/>
  <c r="I71" i="10"/>
  <c r="G59" i="46"/>
  <c r="I59" i="46" s="1"/>
  <c r="I61" i="30"/>
  <c r="F64" i="27"/>
  <c r="B64" i="27"/>
  <c r="I62" i="29"/>
  <c r="I68" i="8"/>
  <c r="I63" i="27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B142" i="13"/>
  <c r="F142" i="13"/>
  <c r="E148" i="49" l="1"/>
  <c r="F148" i="49" s="1"/>
  <c r="I148" i="48"/>
  <c r="H148" i="48"/>
  <c r="H147" i="49"/>
  <c r="I147" i="49"/>
  <c r="E149" i="48"/>
  <c r="B149" i="48"/>
  <c r="I59" i="13"/>
  <c r="D59" i="47"/>
  <c r="E59" i="47" s="1"/>
  <c r="G63" i="49"/>
  <c r="I63" i="49" s="1"/>
  <c r="D64" i="49"/>
  <c r="G58" i="47"/>
  <c r="I58" i="47" s="1"/>
  <c r="H58" i="48"/>
  <c r="D59" i="48"/>
  <c r="E59" i="48" s="1"/>
  <c r="E60" i="13"/>
  <c r="F60" i="13" s="1"/>
  <c r="B60" i="1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G64" i="27"/>
  <c r="H64" i="27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 s="1"/>
  <c r="H68" i="3"/>
  <c r="D69" i="3"/>
  <c r="G68" i="3"/>
  <c r="D60" i="42"/>
  <c r="E60" i="42" s="1"/>
  <c r="H72" i="10"/>
  <c r="G72" i="10"/>
  <c r="G73" i="10" s="1"/>
  <c r="D61" i="39"/>
  <c r="E61" i="39" s="1"/>
  <c r="D60" i="41"/>
  <c r="E60" i="41" s="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 s="1"/>
  <c r="F71" i="9"/>
  <c r="B71" i="9"/>
  <c r="D143" i="13"/>
  <c r="E143" i="13" s="1"/>
  <c r="G142" i="13"/>
  <c r="F149" i="48" l="1"/>
  <c r="D149" i="49"/>
  <c r="G148" i="49"/>
  <c r="F59" i="48"/>
  <c r="G59" i="48" s="1"/>
  <c r="B59" i="48"/>
  <c r="E64" i="49"/>
  <c r="F64" i="49" s="1"/>
  <c r="H64" i="49" s="1"/>
  <c r="B64" i="49"/>
  <c r="I58" i="48"/>
  <c r="B59" i="47"/>
  <c r="F59" i="47"/>
  <c r="H59" i="47" s="1"/>
  <c r="H60" i="13"/>
  <c r="D61" i="13"/>
  <c r="G60" i="13"/>
  <c r="I60" i="44"/>
  <c r="I67" i="25"/>
  <c r="E61" i="44"/>
  <c r="F61" i="44" s="1"/>
  <c r="B61" i="44"/>
  <c r="H60" i="46"/>
  <c r="I60" i="46" s="1"/>
  <c r="I63" i="28"/>
  <c r="I68" i="4"/>
  <c r="I71" i="7"/>
  <c r="I68" i="3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I142" i="13"/>
  <c r="H142" i="13"/>
  <c r="B143" i="13"/>
  <c r="F143" i="13"/>
  <c r="H59" i="48" l="1"/>
  <c r="I59" i="48" s="1"/>
  <c r="I148" i="49"/>
  <c r="H148" i="49"/>
  <c r="D150" i="48"/>
  <c r="G149" i="48"/>
  <c r="E149" i="49"/>
  <c r="B149" i="49"/>
  <c r="D65" i="49"/>
  <c r="E65" i="49" s="1"/>
  <c r="F65" i="49" s="1"/>
  <c r="D66" i="49" s="1"/>
  <c r="I60" i="13"/>
  <c r="G59" i="47"/>
  <c r="I59" i="47" s="1"/>
  <c r="D60" i="47"/>
  <c r="E60" i="47" s="1"/>
  <c r="F60" i="47" s="1"/>
  <c r="G64" i="49"/>
  <c r="I64" i="49" s="1"/>
  <c r="D60" i="48"/>
  <c r="E60" i="48" s="1"/>
  <c r="F60" i="48" s="1"/>
  <c r="E61" i="13"/>
  <c r="F61" i="13" s="1"/>
  <c r="B61" i="13"/>
  <c r="H61" i="44"/>
  <c r="D62" i="44"/>
  <c r="G61" i="44"/>
  <c r="I71" i="9"/>
  <c r="G61" i="45"/>
  <c r="I61" i="45" s="1"/>
  <c r="G60" i="41"/>
  <c r="I60" i="41" s="1"/>
  <c r="H59" i="43"/>
  <c r="I59" i="43" s="1"/>
  <c r="G65" i="27"/>
  <c r="D66" i="27"/>
  <c r="H65" i="27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E150" i="48" l="1"/>
  <c r="B150" i="48"/>
  <c r="I149" i="48"/>
  <c r="H149" i="48"/>
  <c r="F149" i="49"/>
  <c r="D61" i="47"/>
  <c r="E61" i="47" s="1"/>
  <c r="F61" i="47" s="1"/>
  <c r="B65" i="49"/>
  <c r="G65" i="49"/>
  <c r="H65" i="49"/>
  <c r="H60" i="48"/>
  <c r="D61" i="48"/>
  <c r="E61" i="48" s="1"/>
  <c r="F61" i="48" s="1"/>
  <c r="B60" i="47"/>
  <c r="G60" i="47"/>
  <c r="H60" i="47"/>
  <c r="E66" i="49"/>
  <c r="F66" i="49" s="1"/>
  <c r="B66" i="49"/>
  <c r="B60" i="48"/>
  <c r="G60" i="48"/>
  <c r="I61" i="44"/>
  <c r="H61" i="13"/>
  <c r="G61" i="13"/>
  <c r="D62" i="13"/>
  <c r="E62" i="44"/>
  <c r="F62" i="44" s="1"/>
  <c r="B62" i="44"/>
  <c r="I66" i="24"/>
  <c r="I67" i="23"/>
  <c r="I65" i="27"/>
  <c r="I70" i="6"/>
  <c r="I63" i="30"/>
  <c r="E66" i="27"/>
  <c r="F66" i="27" s="1"/>
  <c r="B66" i="27"/>
  <c r="I64" i="31"/>
  <c r="I69" i="4"/>
  <c r="I69" i="3"/>
  <c r="D62" i="46"/>
  <c r="E62" i="46" s="1"/>
  <c r="G61" i="46"/>
  <c r="H61" i="46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H143" i="13"/>
  <c r="I143" i="13"/>
  <c r="B144" i="13"/>
  <c r="E144" i="13"/>
  <c r="F144" i="13" s="1"/>
  <c r="D67" i="49" l="1"/>
  <c r="E67" i="49" s="1"/>
  <c r="F67" i="49" s="1"/>
  <c r="G66" i="49"/>
  <c r="I60" i="48"/>
  <c r="D150" i="49"/>
  <c r="G149" i="49"/>
  <c r="F150" i="48"/>
  <c r="D62" i="48"/>
  <c r="E62" i="48" s="1"/>
  <c r="F62" i="48" s="1"/>
  <c r="I60" i="47"/>
  <c r="B61" i="48"/>
  <c r="G61" i="48"/>
  <c r="H61" i="48"/>
  <c r="H66" i="49"/>
  <c r="G61" i="47"/>
  <c r="D62" i="47"/>
  <c r="E62" i="47" s="1"/>
  <c r="F62" i="47" s="1"/>
  <c r="I65" i="49"/>
  <c r="B61" i="47"/>
  <c r="H61" i="47"/>
  <c r="I61" i="13"/>
  <c r="E62" i="13"/>
  <c r="F62" i="13" s="1"/>
  <c r="B62" i="13"/>
  <c r="G62" i="44"/>
  <c r="H62" i="44"/>
  <c r="D63" i="44"/>
  <c r="I61" i="46"/>
  <c r="H62" i="39"/>
  <c r="I62" i="39" s="1"/>
  <c r="H61" i="40"/>
  <c r="I61" i="40" s="1"/>
  <c r="G61" i="42"/>
  <c r="I61" i="42" s="1"/>
  <c r="G66" i="27"/>
  <c r="H66" i="27"/>
  <c r="D67" i="27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F62" i="46"/>
  <c r="H62" i="46" s="1"/>
  <c r="B62" i="46"/>
  <c r="G144" i="13"/>
  <c r="D145" i="13"/>
  <c r="E145" i="13" s="1"/>
  <c r="B67" i="49" l="1"/>
  <c r="I61" i="48"/>
  <c r="I66" i="49"/>
  <c r="I61" i="47"/>
  <c r="H149" i="49"/>
  <c r="I149" i="49"/>
  <c r="G150" i="48"/>
  <c r="D151" i="48"/>
  <c r="E150" i="49"/>
  <c r="B150" i="49"/>
  <c r="H67" i="49"/>
  <c r="D68" i="49"/>
  <c r="E68" i="49" s="1"/>
  <c r="H62" i="47"/>
  <c r="D63" i="47"/>
  <c r="E63" i="47" s="1"/>
  <c r="F63" i="47" s="1"/>
  <c r="B62" i="47"/>
  <c r="G62" i="47"/>
  <c r="G67" i="49"/>
  <c r="H62" i="48"/>
  <c r="D63" i="48"/>
  <c r="B62" i="48"/>
  <c r="G62" i="48"/>
  <c r="I69" i="25"/>
  <c r="I68" i="23"/>
  <c r="G62" i="13"/>
  <c r="H62" i="13"/>
  <c r="D63" i="13"/>
  <c r="I62" i="44"/>
  <c r="I70" i="4"/>
  <c r="E63" i="44"/>
  <c r="F63" i="44" s="1"/>
  <c r="B63" i="44"/>
  <c r="I66" i="27"/>
  <c r="G62" i="46"/>
  <c r="I62" i="46" s="1"/>
  <c r="I63" i="37"/>
  <c r="B67" i="27"/>
  <c r="I71" i="8"/>
  <c r="E67" i="27"/>
  <c r="F67" i="27" s="1"/>
  <c r="I65" i="3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F145" i="13"/>
  <c r="B145" i="13"/>
  <c r="H144" i="13"/>
  <c r="I144" i="13"/>
  <c r="I62" i="47" l="1"/>
  <c r="I67" i="49"/>
  <c r="E151" i="48"/>
  <c r="B151" i="48"/>
  <c r="I150" i="48"/>
  <c r="H150" i="48"/>
  <c r="F150" i="49"/>
  <c r="E63" i="48"/>
  <c r="F63" i="48" s="1"/>
  <c r="G63" i="48" s="1"/>
  <c r="B63" i="48"/>
  <c r="D64" i="47"/>
  <c r="E64" i="47" s="1"/>
  <c r="F64" i="47" s="1"/>
  <c r="F68" i="49"/>
  <c r="B68" i="49"/>
  <c r="I62" i="48"/>
  <c r="B63" i="47"/>
  <c r="H63" i="47"/>
  <c r="G63" i="47"/>
  <c r="I62" i="13"/>
  <c r="E63" i="13"/>
  <c r="F63" i="13" s="1"/>
  <c r="B63" i="13"/>
  <c r="D64" i="44"/>
  <c r="G63" i="44"/>
  <c r="H63" i="44"/>
  <c r="H63" i="38"/>
  <c r="I63" i="38" s="1"/>
  <c r="G63" i="45"/>
  <c r="I63" i="45" s="1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 s="1"/>
  <c r="D65" i="37"/>
  <c r="E65" i="37" s="1"/>
  <c r="H66" i="28"/>
  <c r="D67" i="28"/>
  <c r="G66" i="28"/>
  <c r="G66" i="31"/>
  <c r="D67" i="31"/>
  <c r="H66" i="31"/>
  <c r="D62" i="43"/>
  <c r="E62" i="43" s="1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G145" i="13"/>
  <c r="D146" i="13"/>
  <c r="E146" i="13" s="1"/>
  <c r="D151" i="49" l="1"/>
  <c r="G150" i="49"/>
  <c r="E151" i="49"/>
  <c r="F151" i="48"/>
  <c r="G68" i="49"/>
  <c r="D69" i="49"/>
  <c r="H64" i="47"/>
  <c r="D65" i="47"/>
  <c r="H68" i="49"/>
  <c r="B64" i="47"/>
  <c r="G64" i="47"/>
  <c r="D64" i="48"/>
  <c r="E64" i="48" s="1"/>
  <c r="F64" i="48" s="1"/>
  <c r="I63" i="47"/>
  <c r="H63" i="48"/>
  <c r="I63" i="48" s="1"/>
  <c r="G63" i="13"/>
  <c r="H63" i="13"/>
  <c r="D64" i="13"/>
  <c r="I63" i="44"/>
  <c r="E64" i="44"/>
  <c r="F64" i="44" s="1"/>
  <c r="B64" i="44"/>
  <c r="I66" i="28"/>
  <c r="I65" i="30"/>
  <c r="I66" i="29"/>
  <c r="I70" i="22"/>
  <c r="E68" i="27"/>
  <c r="F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E66" i="30"/>
  <c r="F66" i="30" s="1"/>
  <c r="E63" i="42"/>
  <c r="F63" i="42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B146" i="13"/>
  <c r="F146" i="13"/>
  <c r="I68" i="49" l="1"/>
  <c r="I64" i="47"/>
  <c r="H150" i="49"/>
  <c r="I150" i="49"/>
  <c r="G151" i="48"/>
  <c r="D152" i="48"/>
  <c r="B152" i="48" s="1"/>
  <c r="F151" i="49"/>
  <c r="B151" i="49"/>
  <c r="H64" i="48"/>
  <c r="D65" i="48"/>
  <c r="E69" i="49"/>
  <c r="F69" i="49" s="1"/>
  <c r="B69" i="49"/>
  <c r="B65" i="47"/>
  <c r="B64" i="48"/>
  <c r="G64" i="48"/>
  <c r="E65" i="47"/>
  <c r="F65" i="47" s="1"/>
  <c r="H65" i="47" s="1"/>
  <c r="I63" i="13"/>
  <c r="E64" i="13"/>
  <c r="F64" i="13" s="1"/>
  <c r="B64" i="13"/>
  <c r="G63" i="41"/>
  <c r="I63" i="41" s="1"/>
  <c r="G64" i="44"/>
  <c r="D65" i="44"/>
  <c r="H64" i="44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I64" i="48" l="1"/>
  <c r="G151" i="49"/>
  <c r="D152" i="49"/>
  <c r="B152" i="49" s="1"/>
  <c r="H151" i="48"/>
  <c r="I151" i="48"/>
  <c r="E152" i="48"/>
  <c r="F152" i="48" s="1"/>
  <c r="D66" i="47"/>
  <c r="E66" i="47" s="1"/>
  <c r="F66" i="47" s="1"/>
  <c r="G65" i="47"/>
  <c r="I65" i="47" s="1"/>
  <c r="H69" i="49"/>
  <c r="D70" i="49"/>
  <c r="G69" i="49"/>
  <c r="E65" i="48"/>
  <c r="F65" i="48" s="1"/>
  <c r="B65" i="48"/>
  <c r="I64" i="44"/>
  <c r="H64" i="13"/>
  <c r="G64" i="13"/>
  <c r="D65" i="13"/>
  <c r="I67" i="29"/>
  <c r="E65" i="44"/>
  <c r="F65" i="44" s="1"/>
  <c r="B65" i="44"/>
  <c r="I68" i="27"/>
  <c r="I71" i="22"/>
  <c r="I66" i="30"/>
  <c r="B69" i="27"/>
  <c r="F69" i="27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F147" i="13"/>
  <c r="B147" i="13"/>
  <c r="H146" i="13"/>
  <c r="I146" i="13"/>
  <c r="E152" i="49" l="1"/>
  <c r="F152" i="49" s="1"/>
  <c r="I69" i="49"/>
  <c r="D153" i="49"/>
  <c r="B153" i="49" s="1"/>
  <c r="G152" i="49"/>
  <c r="G152" i="48"/>
  <c r="D153" i="48"/>
  <c r="H151" i="49"/>
  <c r="I151" i="49"/>
  <c r="G65" i="48"/>
  <c r="D66" i="48"/>
  <c r="E66" i="48" s="1"/>
  <c r="F66" i="48" s="1"/>
  <c r="H65" i="48"/>
  <c r="H66" i="47"/>
  <c r="D67" i="47"/>
  <c r="E67" i="47" s="1"/>
  <c r="F67" i="47" s="1"/>
  <c r="E70" i="49"/>
  <c r="F70" i="49" s="1"/>
  <c r="H70" i="49" s="1"/>
  <c r="B70" i="49"/>
  <c r="B66" i="47"/>
  <c r="G66" i="47"/>
  <c r="I64" i="13"/>
  <c r="E65" i="13"/>
  <c r="F65" i="13" s="1"/>
  <c r="H65" i="13" s="1"/>
  <c r="B65" i="13"/>
  <c r="G66" i="37"/>
  <c r="I66" i="37" s="1"/>
  <c r="D66" i="44"/>
  <c r="H65" i="44"/>
  <c r="G65" i="44"/>
  <c r="G63" i="43"/>
  <c r="I63" i="43" s="1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D148" i="13"/>
  <c r="G147" i="13"/>
  <c r="I65" i="48" l="1"/>
  <c r="E153" i="49"/>
  <c r="F153" i="49" s="1"/>
  <c r="D154" i="49" s="1"/>
  <c r="I66" i="47"/>
  <c r="I152" i="49"/>
  <c r="H152" i="49"/>
  <c r="G153" i="49"/>
  <c r="H152" i="48"/>
  <c r="I152" i="48"/>
  <c r="E153" i="48"/>
  <c r="F153" i="48" s="1"/>
  <c r="B153" i="48"/>
  <c r="H66" i="48"/>
  <c r="D67" i="48"/>
  <c r="G67" i="47"/>
  <c r="D68" i="47"/>
  <c r="E68" i="47" s="1"/>
  <c r="F68" i="47" s="1"/>
  <c r="G70" i="49"/>
  <c r="I70" i="49" s="1"/>
  <c r="D71" i="49"/>
  <c r="B67" i="47"/>
  <c r="H67" i="47"/>
  <c r="B66" i="48"/>
  <c r="G66" i="48"/>
  <c r="I66" i="48" s="1"/>
  <c r="G65" i="13"/>
  <c r="I65" i="13" s="1"/>
  <c r="D66" i="13"/>
  <c r="I65" i="44"/>
  <c r="I68" i="28"/>
  <c r="E66" i="44"/>
  <c r="F66" i="44" s="1"/>
  <c r="B66" i="44"/>
  <c r="I71" i="23"/>
  <c r="F70" i="27"/>
  <c r="B70" i="27"/>
  <c r="I69" i="27"/>
  <c r="D66" i="46"/>
  <c r="E66" i="46" s="1"/>
  <c r="H65" i="46"/>
  <c r="G65" i="46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I147" i="13"/>
  <c r="H147" i="13"/>
  <c r="B148" i="13"/>
  <c r="E148" i="13"/>
  <c r="F148" i="13" s="1"/>
  <c r="E154" i="49" l="1"/>
  <c r="B154" i="49"/>
  <c r="D154" i="48"/>
  <c r="G153" i="48"/>
  <c r="H153" i="49"/>
  <c r="I153" i="49"/>
  <c r="I67" i="47"/>
  <c r="E67" i="48"/>
  <c r="F67" i="48" s="1"/>
  <c r="B67" i="48"/>
  <c r="H68" i="47"/>
  <c r="D69" i="47"/>
  <c r="B71" i="49"/>
  <c r="E71" i="49"/>
  <c r="F71" i="49" s="1"/>
  <c r="D72" i="49" s="1"/>
  <c r="B68" i="47"/>
  <c r="G68" i="47"/>
  <c r="B66" i="13"/>
  <c r="E66" i="13"/>
  <c r="F66" i="13" s="1"/>
  <c r="G66" i="13" s="1"/>
  <c r="H66" i="44"/>
  <c r="D67" i="44"/>
  <c r="B67" i="44" s="1"/>
  <c r="G66" i="44"/>
  <c r="H64" i="43"/>
  <c r="I64" i="43" s="1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D66" i="42"/>
  <c r="E66" i="42" s="1"/>
  <c r="H66" i="39"/>
  <c r="I66" i="39" s="1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F66" i="46"/>
  <c r="B66" i="46"/>
  <c r="D149" i="13"/>
  <c r="G148" i="13"/>
  <c r="G71" i="49" l="1"/>
  <c r="I68" i="47"/>
  <c r="H71" i="49"/>
  <c r="I71" i="49" s="1"/>
  <c r="E154" i="48"/>
  <c r="B154" i="48"/>
  <c r="H153" i="48"/>
  <c r="I153" i="48"/>
  <c r="F154" i="49"/>
  <c r="G154" i="49" s="1"/>
  <c r="E155" i="49"/>
  <c r="B69" i="47"/>
  <c r="D68" i="48"/>
  <c r="E68" i="48" s="1"/>
  <c r="F68" i="48" s="1"/>
  <c r="H67" i="48"/>
  <c r="E72" i="49"/>
  <c r="E73" i="49" s="1"/>
  <c r="B72" i="49"/>
  <c r="E69" i="47"/>
  <c r="F69" i="47" s="1"/>
  <c r="G67" i="48"/>
  <c r="I66" i="44"/>
  <c r="D67" i="13"/>
  <c r="H66" i="13"/>
  <c r="I66" i="13" s="1"/>
  <c r="E67" i="44"/>
  <c r="F67" i="44" s="1"/>
  <c r="G67" i="44" s="1"/>
  <c r="I69" i="29"/>
  <c r="E71" i="27"/>
  <c r="F71" i="27" s="1"/>
  <c r="B71" i="27"/>
  <c r="I67" i="37"/>
  <c r="I71" i="24"/>
  <c r="I70" i="27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E149" i="13"/>
  <c r="F149" i="13" s="1"/>
  <c r="I148" i="13"/>
  <c r="H148" i="13"/>
  <c r="I154" i="49" l="1"/>
  <c r="I155" i="49" s="1"/>
  <c r="H154" i="49"/>
  <c r="H155" i="49" s="1"/>
  <c r="F154" i="48"/>
  <c r="G154" i="48" s="1"/>
  <c r="E155" i="48"/>
  <c r="H68" i="48"/>
  <c r="D69" i="48"/>
  <c r="D70" i="47"/>
  <c r="E70" i="47" s="1"/>
  <c r="F70" i="47" s="1"/>
  <c r="I67" i="48"/>
  <c r="G69" i="47"/>
  <c r="H69" i="47"/>
  <c r="F72" i="49"/>
  <c r="B68" i="48"/>
  <c r="G68" i="48"/>
  <c r="E67" i="13"/>
  <c r="F67" i="13" s="1"/>
  <c r="H67" i="13" s="1"/>
  <c r="B67" i="13"/>
  <c r="H67" i="44"/>
  <c r="I67" i="44" s="1"/>
  <c r="D68" i="44"/>
  <c r="G66" i="42"/>
  <c r="I66" i="42" s="1"/>
  <c r="G71" i="27"/>
  <c r="D72" i="27"/>
  <c r="H71" i="27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D150" i="13"/>
  <c r="G149" i="13"/>
  <c r="I68" i="48" l="1"/>
  <c r="H154" i="48"/>
  <c r="H155" i="48" s="1"/>
  <c r="I154" i="48"/>
  <c r="I155" i="48" s="1"/>
  <c r="H72" i="49"/>
  <c r="G72" i="49"/>
  <c r="G73" i="49" s="1"/>
  <c r="H70" i="47"/>
  <c r="D71" i="47"/>
  <c r="I69" i="47"/>
  <c r="B70" i="47"/>
  <c r="G70" i="47"/>
  <c r="E69" i="48"/>
  <c r="F69" i="48" s="1"/>
  <c r="G69" i="48" s="1"/>
  <c r="B69" i="48"/>
  <c r="D68" i="13"/>
  <c r="G67" i="13"/>
  <c r="I67" i="13" s="1"/>
  <c r="E68" i="44"/>
  <c r="F68" i="44" s="1"/>
  <c r="B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B150" i="13"/>
  <c r="H149" i="13"/>
  <c r="I149" i="13"/>
  <c r="E150" i="13"/>
  <c r="F150" i="13" s="1"/>
  <c r="I70" i="47" l="1"/>
  <c r="B71" i="47"/>
  <c r="D70" i="48"/>
  <c r="H69" i="48"/>
  <c r="I69" i="48" s="1"/>
  <c r="E71" i="47"/>
  <c r="F71" i="47" s="1"/>
  <c r="I72" i="49"/>
  <c r="I73" i="49" s="1"/>
  <c r="H73" i="49"/>
  <c r="E68" i="13"/>
  <c r="F68" i="13" s="1"/>
  <c r="B68" i="13"/>
  <c r="H68" i="44"/>
  <c r="G68" i="44"/>
  <c r="D69" i="44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B70" i="48" l="1"/>
  <c r="D72" i="47"/>
  <c r="E72" i="47" s="1"/>
  <c r="E73" i="47" s="1"/>
  <c r="G71" i="47"/>
  <c r="H71" i="47"/>
  <c r="E70" i="48"/>
  <c r="F70" i="48" s="1"/>
  <c r="H68" i="13"/>
  <c r="D69" i="13"/>
  <c r="G68" i="13"/>
  <c r="I68" i="44"/>
  <c r="I67" i="41"/>
  <c r="E69" i="44"/>
  <c r="F69" i="44" s="1"/>
  <c r="B69" i="44"/>
  <c r="I68" i="39"/>
  <c r="I70" i="30"/>
  <c r="I69" i="37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I71" i="47" l="1"/>
  <c r="H70" i="48"/>
  <c r="D71" i="48"/>
  <c r="E71" i="48" s="1"/>
  <c r="F71" i="48" s="1"/>
  <c r="B72" i="47"/>
  <c r="F72" i="47"/>
  <c r="G72" i="47" s="1"/>
  <c r="G73" i="47" s="1"/>
  <c r="G70" i="48"/>
  <c r="E69" i="13"/>
  <c r="F69" i="13" s="1"/>
  <c r="B69" i="13"/>
  <c r="I68" i="13"/>
  <c r="H69" i="44"/>
  <c r="D70" i="44"/>
  <c r="G69" i="44"/>
  <c r="H70" i="37"/>
  <c r="I70" i="37" s="1"/>
  <c r="G68" i="40"/>
  <c r="I68" i="40" s="1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D70" i="38"/>
  <c r="E70" i="38" s="1"/>
  <c r="D68" i="43"/>
  <c r="E68" i="43" s="1"/>
  <c r="H69" i="38"/>
  <c r="G68" i="41"/>
  <c r="I68" i="41" s="1"/>
  <c r="D71" i="37"/>
  <c r="E71" i="37" s="1"/>
  <c r="H72" i="31"/>
  <c r="G72" i="31"/>
  <c r="G73" i="31" s="1"/>
  <c r="F72" i="28"/>
  <c r="D69" i="40"/>
  <c r="E69" i="40" s="1"/>
  <c r="G72" i="29"/>
  <c r="G73" i="29" s="1"/>
  <c r="H72" i="29"/>
  <c r="G69" i="38"/>
  <c r="B69" i="46"/>
  <c r="F69" i="46"/>
  <c r="G69" i="46" s="1"/>
  <c r="D69" i="42"/>
  <c r="E69" i="42" s="1"/>
  <c r="H71" i="30"/>
  <c r="G71" i="30"/>
  <c r="D72" i="30"/>
  <c r="E72" i="30" s="1"/>
  <c r="E73" i="30" s="1"/>
  <c r="D152" i="13"/>
  <c r="G151" i="13"/>
  <c r="H72" i="47" l="1"/>
  <c r="I70" i="48"/>
  <c r="I72" i="47"/>
  <c r="I73" i="47" s="1"/>
  <c r="H73" i="47"/>
  <c r="D72" i="48"/>
  <c r="E72" i="48" s="1"/>
  <c r="E73" i="48" s="1"/>
  <c r="B71" i="48"/>
  <c r="G71" i="48"/>
  <c r="H71" i="48"/>
  <c r="I69" i="44"/>
  <c r="G69" i="13"/>
  <c r="D70" i="13"/>
  <c r="H69" i="13"/>
  <c r="E70" i="44"/>
  <c r="F70" i="44" s="1"/>
  <c r="B70" i="44"/>
  <c r="I69" i="39"/>
  <c r="H69" i="46"/>
  <c r="I69" i="46" s="1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I71" i="48" l="1"/>
  <c r="B72" i="48"/>
  <c r="F72" i="48"/>
  <c r="G72" i="48" s="1"/>
  <c r="G73" i="48" s="1"/>
  <c r="I69" i="13"/>
  <c r="B70" i="13"/>
  <c r="E70" i="13"/>
  <c r="F70" i="13" s="1"/>
  <c r="G70" i="13" s="1"/>
  <c r="G70" i="38"/>
  <c r="I70" i="38" s="1"/>
  <c r="H70" i="44"/>
  <c r="D71" i="44"/>
  <c r="G70" i="44"/>
  <c r="H70" i="39"/>
  <c r="I70" i="39" s="1"/>
  <c r="H68" i="43"/>
  <c r="I68" i="43" s="1"/>
  <c r="H71" i="37"/>
  <c r="I71" i="37" s="1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G69" i="40"/>
  <c r="B70" i="46"/>
  <c r="F70" i="46"/>
  <c r="H70" i="46" s="1"/>
  <c r="G69" i="41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D153" i="13"/>
  <c r="E153" i="13" s="1"/>
  <c r="G152" i="13"/>
  <c r="H72" i="48" l="1"/>
  <c r="I72" i="48" s="1"/>
  <c r="I73" i="48" s="1"/>
  <c r="H73" i="48"/>
  <c r="I70" i="44"/>
  <c r="H70" i="13"/>
  <c r="I70" i="13" s="1"/>
  <c r="D71" i="13"/>
  <c r="E71" i="44"/>
  <c r="F71" i="44" s="1"/>
  <c r="B71" i="44"/>
  <c r="I69" i="41"/>
  <c r="I69" i="40"/>
  <c r="G70" i="46"/>
  <c r="I70" i="46" s="1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I70" i="41" s="1"/>
  <c r="B71" i="13"/>
  <c r="E71" i="13"/>
  <c r="F71" i="13" s="1"/>
  <c r="G71" i="13" s="1"/>
  <c r="H71" i="44"/>
  <c r="D72" i="44"/>
  <c r="G71" i="44"/>
  <c r="H71" i="39"/>
  <c r="I71" i="39" s="1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D71" i="40"/>
  <c r="G71" i="38"/>
  <c r="I71" i="38" s="1"/>
  <c r="H70" i="42"/>
  <c r="I70" i="42" s="1"/>
  <c r="D71" i="41"/>
  <c r="D72" i="39"/>
  <c r="E72" i="39" s="1"/>
  <c r="E73" i="39" s="1"/>
  <c r="D154" i="13"/>
  <c r="E154" i="13" s="1"/>
  <c r="E155" i="13" s="1"/>
  <c r="G153" i="13"/>
  <c r="I71" i="44" l="1"/>
  <c r="H71" i="13"/>
  <c r="I71" i="13" s="1"/>
  <c r="D72" i="13"/>
  <c r="E72" i="44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B72" i="13" l="1"/>
  <c r="E72" i="13"/>
  <c r="E73" i="13" s="1"/>
  <c r="F72" i="44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B72" i="46"/>
  <c r="E72" i="46"/>
  <c r="E73" i="46" s="1"/>
  <c r="H154" i="13"/>
  <c r="H155" i="13" s="1"/>
  <c r="I154" i="13"/>
  <c r="I155" i="13" s="1"/>
  <c r="F72" i="13" l="1"/>
  <c r="I72" i="45"/>
  <c r="I73" i="45" s="1"/>
  <c r="H72" i="44"/>
  <c r="H73" i="44" s="1"/>
  <c r="H73" i="39"/>
  <c r="F72" i="46"/>
  <c r="G72" i="46" s="1"/>
  <c r="G73" i="46" s="1"/>
  <c r="I71" i="40"/>
  <c r="F71" i="43"/>
  <c r="H71" i="43" s="1"/>
  <c r="B71" i="43"/>
  <c r="I71" i="41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H73" i="46" s="1"/>
  <c r="I72" i="44"/>
  <c r="I73" i="44" s="1"/>
  <c r="G72" i="13"/>
  <c r="G73" i="13" s="1"/>
  <c r="H72" i="13"/>
  <c r="G71" i="43"/>
  <c r="I71" i="43" s="1"/>
  <c r="G72" i="40"/>
  <c r="G73" i="40" s="1"/>
  <c r="G72" i="41"/>
  <c r="G73" i="41" s="1"/>
  <c r="G72" i="42"/>
  <c r="G73" i="42" s="1"/>
  <c r="H73" i="42"/>
  <c r="H73" i="41"/>
  <c r="H73" i="40"/>
  <c r="D72" i="43"/>
  <c r="E72" i="43" s="1"/>
  <c r="E73" i="43" s="1"/>
  <c r="I72" i="46" l="1"/>
  <c r="I73" i="46" s="1"/>
  <c r="I72" i="13"/>
  <c r="I73" i="13" s="1"/>
  <c r="H73" i="13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D95" i="47" l="1"/>
  <c r="J96" i="47" s="1"/>
  <c r="D95" i="49"/>
  <c r="D95" i="48"/>
  <c r="H72" i="43"/>
  <c r="I72" i="43" s="1"/>
  <c r="I73" i="43" s="1"/>
  <c r="D95" i="44"/>
  <c r="J96" i="44" s="1"/>
  <c r="D95" i="13"/>
  <c r="D95" i="38"/>
  <c r="J96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E113" i="9" s="1"/>
  <c r="F113" i="9" s="1"/>
  <c r="G113" i="9" s="1"/>
  <c r="H113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E100" i="47" l="1"/>
  <c r="F100" i="47" s="1"/>
  <c r="E100" i="46"/>
  <c r="B100" i="44"/>
  <c r="B100" i="45"/>
  <c r="H73" i="43"/>
  <c r="N100" i="38"/>
  <c r="O100" i="38" s="1"/>
  <c r="L100" i="38"/>
  <c r="M100" i="38" s="1"/>
  <c r="B100" i="42"/>
  <c r="B100" i="43"/>
  <c r="B100" i="41"/>
  <c r="D101" i="47" l="1"/>
  <c r="E101" i="47" s="1"/>
  <c r="G100" i="47"/>
  <c r="D100" i="46"/>
  <c r="B100" i="46" s="1"/>
  <c r="D101" i="44"/>
  <c r="J99" i="45"/>
  <c r="E101" i="45"/>
  <c r="P100" i="38"/>
  <c r="J99" i="41"/>
  <c r="J99" i="43"/>
  <c r="I100" i="47" l="1"/>
  <c r="H100" i="47"/>
  <c r="F101" i="47"/>
  <c r="B101" i="47"/>
  <c r="D101" i="45"/>
  <c r="B101" i="45" s="1"/>
  <c r="J99" i="46"/>
  <c r="F100" i="46"/>
  <c r="J99" i="44"/>
  <c r="B101" i="42"/>
  <c r="E101" i="44"/>
  <c r="F101" i="44" s="1"/>
  <c r="B101" i="44"/>
  <c r="J99" i="42"/>
  <c r="B101" i="41"/>
  <c r="B101" i="38"/>
  <c r="J100" i="47" l="1"/>
  <c r="G101" i="47"/>
  <c r="D102" i="47"/>
  <c r="E102" i="47" s="1"/>
  <c r="F101" i="45"/>
  <c r="E102" i="45" s="1"/>
  <c r="G100" i="46"/>
  <c r="D101" i="46"/>
  <c r="B101" i="46" s="1"/>
  <c r="E101" i="46"/>
  <c r="J100" i="45"/>
  <c r="G101" i="44"/>
  <c r="D102" i="44"/>
  <c r="E102" i="44"/>
  <c r="J100" i="44"/>
  <c r="J100" i="38"/>
  <c r="D102" i="41"/>
  <c r="D102" i="42"/>
  <c r="J100" i="42"/>
  <c r="D102" i="38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D102" i="45" l="1"/>
  <c r="B102" i="45" s="1"/>
  <c r="B102" i="47"/>
  <c r="F102" i="47"/>
  <c r="G101" i="45"/>
  <c r="H101" i="45" s="1"/>
  <c r="H101" i="47"/>
  <c r="I101" i="47"/>
  <c r="F101" i="46"/>
  <c r="G101" i="46" s="1"/>
  <c r="H100" i="46"/>
  <c r="I100" i="46"/>
  <c r="F102" i="45"/>
  <c r="G102" i="45" s="1"/>
  <c r="I101" i="44"/>
  <c r="H101" i="44"/>
  <c r="B102" i="44"/>
  <c r="F102" i="44"/>
  <c r="E102" i="38"/>
  <c r="F102" i="38" s="1"/>
  <c r="B102" i="38"/>
  <c r="E102" i="42"/>
  <c r="F102" i="42" s="1"/>
  <c r="B102" i="42"/>
  <c r="E102" i="41"/>
  <c r="F102" i="41" s="1"/>
  <c r="B102" i="41"/>
  <c r="J100" i="43"/>
  <c r="J102" i="30"/>
  <c r="D102" i="43"/>
  <c r="E102" i="43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D102" i="46" l="1"/>
  <c r="B102" i="46" s="1"/>
  <c r="I101" i="45"/>
  <c r="J101" i="45" s="1"/>
  <c r="E102" i="46"/>
  <c r="D103" i="47"/>
  <c r="E103" i="47" s="1"/>
  <c r="G102" i="47"/>
  <c r="J101" i="47"/>
  <c r="F102" i="46"/>
  <c r="G102" i="46" s="1"/>
  <c r="J100" i="46"/>
  <c r="H101" i="46"/>
  <c r="I101" i="46"/>
  <c r="D103" i="45"/>
  <c r="B103" i="45" s="1"/>
  <c r="E103" i="45"/>
  <c r="J101" i="44"/>
  <c r="D103" i="44"/>
  <c r="B103" i="44" s="1"/>
  <c r="G102" i="44"/>
  <c r="E103" i="44"/>
  <c r="H102" i="45"/>
  <c r="I102" i="45"/>
  <c r="J101" i="42"/>
  <c r="J101" i="38"/>
  <c r="G102" i="41"/>
  <c r="D103" i="41"/>
  <c r="E103" i="41"/>
  <c r="G102" i="42"/>
  <c r="D103" i="42"/>
  <c r="B103" i="42" s="1"/>
  <c r="E103" i="42"/>
  <c r="J101" i="41"/>
  <c r="D103" i="38"/>
  <c r="G102" i="38"/>
  <c r="B107" i="24"/>
  <c r="B101" i="40"/>
  <c r="B106" i="27"/>
  <c r="B104" i="30"/>
  <c r="B109" i="25"/>
  <c r="B109" i="22"/>
  <c r="B111" i="8"/>
  <c r="B113" i="7"/>
  <c r="B105" i="31"/>
  <c r="B105" i="29"/>
  <c r="B105" i="28"/>
  <c r="B110" i="4"/>
  <c r="B113" i="10"/>
  <c r="B108" i="23"/>
  <c r="B110" i="3"/>
  <c r="B102" i="43"/>
  <c r="F102" i="43"/>
  <c r="B112" i="11"/>
  <c r="B111" i="6"/>
  <c r="B112" i="9"/>
  <c r="B102" i="39"/>
  <c r="B102" i="37"/>
  <c r="B110" i="5"/>
  <c r="M88" i="9"/>
  <c r="M89" i="9" s="1"/>
  <c r="E103" i="46" l="1"/>
  <c r="J101" i="46"/>
  <c r="D103" i="46"/>
  <c r="B103" i="46" s="1"/>
  <c r="H102" i="47"/>
  <c r="I102" i="47"/>
  <c r="F103" i="47"/>
  <c r="B103" i="47"/>
  <c r="I102" i="46"/>
  <c r="H102" i="46"/>
  <c r="F103" i="45"/>
  <c r="J102" i="45"/>
  <c r="F103" i="44"/>
  <c r="E104" i="44" s="1"/>
  <c r="H102" i="44"/>
  <c r="I102" i="44"/>
  <c r="F103" i="42"/>
  <c r="D104" i="42" s="1"/>
  <c r="H102" i="42"/>
  <c r="M88" i="42" s="1"/>
  <c r="M89" i="42" s="1"/>
  <c r="I102" i="42"/>
  <c r="N88" i="42" s="1"/>
  <c r="E103" i="38"/>
  <c r="F103" i="38" s="1"/>
  <c r="B103" i="38"/>
  <c r="B103" i="41"/>
  <c r="F103" i="41"/>
  <c r="H102" i="38"/>
  <c r="M88" i="38" s="1"/>
  <c r="M89" i="38" s="1"/>
  <c r="I102" i="38"/>
  <c r="N88" i="38" s="1"/>
  <c r="I102" i="41"/>
  <c r="N88" i="41" s="1"/>
  <c r="H102" i="41"/>
  <c r="M88" i="41" s="1"/>
  <c r="M89" i="41" s="1"/>
  <c r="J111" i="9"/>
  <c r="J101" i="43"/>
  <c r="D111" i="5"/>
  <c r="E111" i="5"/>
  <c r="J112" i="10"/>
  <c r="D112" i="6"/>
  <c r="E112" i="6"/>
  <c r="J104" i="29"/>
  <c r="J109" i="5"/>
  <c r="J106" i="24"/>
  <c r="D108" i="24"/>
  <c r="E108" i="24"/>
  <c r="D103" i="37"/>
  <c r="E103" i="37"/>
  <c r="D103" i="39"/>
  <c r="E103" i="39"/>
  <c r="J109" i="3"/>
  <c r="D113" i="11"/>
  <c r="E113" i="11"/>
  <c r="J104" i="28"/>
  <c r="D109" i="23"/>
  <c r="E109" i="23"/>
  <c r="D114" i="10"/>
  <c r="E114" i="10"/>
  <c r="J105" i="27"/>
  <c r="J100" i="40"/>
  <c r="D110" i="22"/>
  <c r="E110" i="22"/>
  <c r="D110" i="25"/>
  <c r="E110" i="25"/>
  <c r="J101" i="37"/>
  <c r="J101" i="39"/>
  <c r="D102" i="40"/>
  <c r="E102" i="40"/>
  <c r="J110" i="6"/>
  <c r="J111" i="11"/>
  <c r="G102" i="43"/>
  <c r="D103" i="43"/>
  <c r="E103" i="43"/>
  <c r="J110" i="8"/>
  <c r="J108" i="25"/>
  <c r="D106" i="28"/>
  <c r="E106" i="28"/>
  <c r="D106" i="29"/>
  <c r="E106" i="29"/>
  <c r="D114" i="7"/>
  <c r="E114" i="7"/>
  <c r="D112" i="8"/>
  <c r="E112" i="8"/>
  <c r="D107" i="27"/>
  <c r="E107" i="27"/>
  <c r="J107" i="23"/>
  <c r="J109" i="4"/>
  <c r="J104" i="31"/>
  <c r="J112" i="7"/>
  <c r="D111" i="3"/>
  <c r="E111" i="3"/>
  <c r="D111" i="4"/>
  <c r="E111" i="4"/>
  <c r="J108" i="22"/>
  <c r="J103" i="30"/>
  <c r="D106" i="31"/>
  <c r="E106" i="31"/>
  <c r="D105" i="30"/>
  <c r="E105" i="30"/>
  <c r="O88" i="38" l="1"/>
  <c r="O89" i="38" s="1"/>
  <c r="N89" i="38"/>
  <c r="N89" i="42"/>
  <c r="O88" i="42"/>
  <c r="O89" i="42" s="1"/>
  <c r="N89" i="41"/>
  <c r="O88" i="41"/>
  <c r="O89" i="41" s="1"/>
  <c r="J102" i="47"/>
  <c r="G103" i="47"/>
  <c r="D104" i="47"/>
  <c r="E104" i="47" s="1"/>
  <c r="F103" i="46"/>
  <c r="J102" i="46"/>
  <c r="D104" i="44"/>
  <c r="B104" i="44" s="1"/>
  <c r="D104" i="45"/>
  <c r="E104" i="45"/>
  <c r="G103" i="45"/>
  <c r="J102" i="44"/>
  <c r="G103" i="44"/>
  <c r="I103" i="44" s="1"/>
  <c r="N88" i="45"/>
  <c r="G103" i="42"/>
  <c r="H103" i="42" s="1"/>
  <c r="J102" i="38"/>
  <c r="J102" i="41"/>
  <c r="J102" i="42"/>
  <c r="G103" i="38"/>
  <c r="D104" i="38"/>
  <c r="E104" i="42"/>
  <c r="F104" i="42" s="1"/>
  <c r="B104" i="42"/>
  <c r="G103" i="41"/>
  <c r="D104" i="41"/>
  <c r="B106" i="28"/>
  <c r="F106" i="28"/>
  <c r="B109" i="23"/>
  <c r="F109" i="23"/>
  <c r="B103" i="39"/>
  <c r="F103" i="39"/>
  <c r="B108" i="24"/>
  <c r="F108" i="24"/>
  <c r="B111" i="3"/>
  <c r="F111" i="3"/>
  <c r="B111" i="4"/>
  <c r="F111" i="4"/>
  <c r="B107" i="27"/>
  <c r="F107" i="27"/>
  <c r="B114" i="7"/>
  <c r="F114" i="7"/>
  <c r="B106" i="29"/>
  <c r="F106" i="29"/>
  <c r="B103" i="43"/>
  <c r="F103" i="43"/>
  <c r="B110" i="22"/>
  <c r="F110" i="22"/>
  <c r="B114" i="10"/>
  <c r="F114" i="10"/>
  <c r="B112" i="6"/>
  <c r="F112" i="6"/>
  <c r="B105" i="30"/>
  <c r="F105" i="30"/>
  <c r="B106" i="31"/>
  <c r="F106" i="31"/>
  <c r="B112" i="8"/>
  <c r="F112" i="8"/>
  <c r="H102" i="43"/>
  <c r="M88" i="43" s="1"/>
  <c r="M89" i="43" s="1"/>
  <c r="I102" i="43"/>
  <c r="N88" i="43" s="1"/>
  <c r="B110" i="25"/>
  <c r="F110" i="25"/>
  <c r="B113" i="11"/>
  <c r="F113" i="11"/>
  <c r="B111" i="5"/>
  <c r="F111" i="5"/>
  <c r="B102" i="40"/>
  <c r="F102" i="40"/>
  <c r="B103" i="37"/>
  <c r="F103" i="37"/>
  <c r="B113" i="9"/>
  <c r="N89" i="43" l="1"/>
  <c r="O88" i="43"/>
  <c r="O89" i="43" s="1"/>
  <c r="G103" i="46"/>
  <c r="E104" i="46"/>
  <c r="D104" i="46"/>
  <c r="F104" i="47"/>
  <c r="B104" i="47"/>
  <c r="I103" i="47"/>
  <c r="H103" i="47"/>
  <c r="F104" i="44"/>
  <c r="D105" i="44" s="1"/>
  <c r="B105" i="44" s="1"/>
  <c r="N88" i="46"/>
  <c r="H103" i="45"/>
  <c r="M88" i="45" s="1"/>
  <c r="M89" i="45" s="1"/>
  <c r="I103" i="45"/>
  <c r="B104" i="45"/>
  <c r="F104" i="45"/>
  <c r="H103" i="44"/>
  <c r="M88" i="44" s="1"/>
  <c r="M89" i="44" s="1"/>
  <c r="N88" i="44"/>
  <c r="N89" i="45"/>
  <c r="I103" i="42"/>
  <c r="J103" i="42" s="1"/>
  <c r="I103" i="41"/>
  <c r="H103" i="41"/>
  <c r="G104" i="42"/>
  <c r="D105" i="42"/>
  <c r="E104" i="38"/>
  <c r="F104" i="38" s="1"/>
  <c r="B104" i="38"/>
  <c r="E104" i="41"/>
  <c r="F104" i="41" s="1"/>
  <c r="B104" i="41"/>
  <c r="H103" i="38"/>
  <c r="I103" i="38"/>
  <c r="G103" i="37"/>
  <c r="D104" i="37"/>
  <c r="E104" i="37"/>
  <c r="G113" i="11"/>
  <c r="D114" i="11"/>
  <c r="E114" i="11"/>
  <c r="J105" i="29"/>
  <c r="G112" i="8"/>
  <c r="D113" i="8"/>
  <c r="E113" i="8"/>
  <c r="G103" i="43"/>
  <c r="D104" i="43"/>
  <c r="E104" i="43"/>
  <c r="G106" i="29"/>
  <c r="D107" i="29"/>
  <c r="E107" i="29"/>
  <c r="G107" i="27"/>
  <c r="D108" i="27"/>
  <c r="E108" i="27"/>
  <c r="G111" i="4"/>
  <c r="D112" i="4"/>
  <c r="E112" i="4"/>
  <c r="J102" i="37"/>
  <c r="G106" i="28"/>
  <c r="D107" i="28"/>
  <c r="E107" i="28"/>
  <c r="J109" i="25"/>
  <c r="G111" i="5"/>
  <c r="D112" i="5"/>
  <c r="E112" i="5"/>
  <c r="J109" i="22"/>
  <c r="J110" i="4"/>
  <c r="G105" i="30"/>
  <c r="D106" i="30"/>
  <c r="E106" i="30"/>
  <c r="J107" i="24"/>
  <c r="J108" i="23"/>
  <c r="G110" i="22"/>
  <c r="D111" i="22"/>
  <c r="E111" i="22"/>
  <c r="G109" i="23"/>
  <c r="D110" i="23"/>
  <c r="E110" i="23"/>
  <c r="J101" i="40"/>
  <c r="J110" i="5"/>
  <c r="D114" i="9"/>
  <c r="E114" i="9"/>
  <c r="J112" i="11"/>
  <c r="G102" i="40"/>
  <c r="D103" i="40"/>
  <c r="E103" i="40"/>
  <c r="J111" i="8"/>
  <c r="J104" i="30"/>
  <c r="J113" i="10"/>
  <c r="J102" i="43"/>
  <c r="J106" i="27"/>
  <c r="J105" i="28"/>
  <c r="G114" i="7"/>
  <c r="D115" i="7"/>
  <c r="E115" i="7"/>
  <c r="J110" i="3"/>
  <c r="G108" i="24"/>
  <c r="D109" i="24"/>
  <c r="E109" i="24"/>
  <c r="G103" i="39"/>
  <c r="D104" i="39"/>
  <c r="E104" i="39"/>
  <c r="J105" i="31"/>
  <c r="J111" i="6"/>
  <c r="G110" i="25"/>
  <c r="D111" i="25"/>
  <c r="E111" i="25"/>
  <c r="J113" i="7"/>
  <c r="G106" i="31"/>
  <c r="D107" i="31"/>
  <c r="E107" i="31"/>
  <c r="G112" i="6"/>
  <c r="D113" i="6"/>
  <c r="E113" i="6"/>
  <c r="J102" i="39"/>
  <c r="G114" i="10"/>
  <c r="D115" i="10"/>
  <c r="E115" i="10"/>
  <c r="G111" i="3"/>
  <c r="D112" i="3"/>
  <c r="E112" i="3"/>
  <c r="J112" i="9"/>
  <c r="D105" i="47" l="1"/>
  <c r="E105" i="47" s="1"/>
  <c r="G104" i="47"/>
  <c r="B104" i="46"/>
  <c r="F104" i="46"/>
  <c r="J103" i="47"/>
  <c r="H103" i="46"/>
  <c r="M88" i="46" s="1"/>
  <c r="M89" i="46" s="1"/>
  <c r="I103" i="46"/>
  <c r="J103" i="46" s="1"/>
  <c r="G104" i="44"/>
  <c r="H104" i="44" s="1"/>
  <c r="E105" i="44"/>
  <c r="F105" i="44" s="1"/>
  <c r="D106" i="44" s="1"/>
  <c r="N89" i="46"/>
  <c r="O88" i="45"/>
  <c r="O89" i="45" s="1"/>
  <c r="J103" i="44"/>
  <c r="J103" i="45"/>
  <c r="G104" i="45"/>
  <c r="E105" i="45"/>
  <c r="D105" i="45"/>
  <c r="O88" i="44"/>
  <c r="O89" i="44" s="1"/>
  <c r="N89" i="44"/>
  <c r="J103" i="38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F111" i="25"/>
  <c r="B104" i="39"/>
  <c r="F104" i="39"/>
  <c r="H108" i="24"/>
  <c r="M88" i="24" s="1"/>
  <c r="M89" i="24" s="1"/>
  <c r="I108" i="24"/>
  <c r="N88" i="24" s="1"/>
  <c r="H109" i="23"/>
  <c r="M88" i="23" s="1"/>
  <c r="M89" i="23" s="1"/>
  <c r="I109" i="23"/>
  <c r="N88" i="23" s="1"/>
  <c r="H110" i="22"/>
  <c r="M88" i="22" s="1"/>
  <c r="M89" i="22" s="1"/>
  <c r="I110" i="22"/>
  <c r="N88" i="22" s="1"/>
  <c r="B107" i="28"/>
  <c r="F107" i="28"/>
  <c r="B108" i="27"/>
  <c r="F108" i="27"/>
  <c r="I106" i="29"/>
  <c r="N88" i="29" s="1"/>
  <c r="H106" i="29"/>
  <c r="M88" i="29" s="1"/>
  <c r="M89" i="29" s="1"/>
  <c r="H113" i="11"/>
  <c r="M88" i="11" s="1"/>
  <c r="M89" i="11" s="1"/>
  <c r="I113" i="11"/>
  <c r="N88" i="11" s="1"/>
  <c r="B112" i="3"/>
  <c r="F112" i="3"/>
  <c r="I111" i="3"/>
  <c r="N88" i="3" s="1"/>
  <c r="H111" i="3"/>
  <c r="M88" i="3" s="1"/>
  <c r="M89" i="3" s="1"/>
  <c r="B115" i="10"/>
  <c r="F115" i="10"/>
  <c r="B107" i="31"/>
  <c r="F107" i="31"/>
  <c r="H110" i="25"/>
  <c r="M88" i="25" s="1"/>
  <c r="M89" i="25" s="1"/>
  <c r="I110" i="25"/>
  <c r="I103" i="39"/>
  <c r="N88" i="39" s="1"/>
  <c r="H103" i="39"/>
  <c r="M88" i="39" s="1"/>
  <c r="M89" i="39" s="1"/>
  <c r="B115" i="7"/>
  <c r="F115" i="7"/>
  <c r="B103" i="40"/>
  <c r="F103" i="40"/>
  <c r="H106" i="28"/>
  <c r="M88" i="28" s="1"/>
  <c r="M89" i="28" s="1"/>
  <c r="I106" i="28"/>
  <c r="N88" i="28" s="1"/>
  <c r="B112" i="4"/>
  <c r="F112" i="4"/>
  <c r="H107" i="27"/>
  <c r="M88" i="27" s="1"/>
  <c r="M89" i="27" s="1"/>
  <c r="I107" i="27"/>
  <c r="N88" i="27" s="1"/>
  <c r="H114" i="10"/>
  <c r="M88" i="10" s="1"/>
  <c r="M89" i="10" s="1"/>
  <c r="I114" i="10"/>
  <c r="N88" i="10" s="1"/>
  <c r="B113" i="6"/>
  <c r="F113" i="6"/>
  <c r="I106" i="31"/>
  <c r="N88" i="31" s="1"/>
  <c r="H106" i="31"/>
  <c r="M88" i="31" s="1"/>
  <c r="M89" i="31" s="1"/>
  <c r="H114" i="7"/>
  <c r="M88" i="7" s="1"/>
  <c r="M89" i="7" s="1"/>
  <c r="I114" i="7"/>
  <c r="N88" i="7" s="1"/>
  <c r="H102" i="40"/>
  <c r="M88" i="40" s="1"/>
  <c r="M89" i="40" s="1"/>
  <c r="I102" i="40"/>
  <c r="N88" i="40" s="1"/>
  <c r="B114" i="9"/>
  <c r="F114" i="9"/>
  <c r="B106" i="30"/>
  <c r="F106" i="30"/>
  <c r="B112" i="5"/>
  <c r="F112" i="5"/>
  <c r="H111" i="4"/>
  <c r="M88" i="4" s="1"/>
  <c r="M89" i="4" s="1"/>
  <c r="I111" i="4"/>
  <c r="N88" i="4" s="1"/>
  <c r="B104" i="43"/>
  <c r="F104" i="43"/>
  <c r="B113" i="8"/>
  <c r="F113" i="8"/>
  <c r="B104" i="37"/>
  <c r="F104" i="37"/>
  <c r="H112" i="6"/>
  <c r="M88" i="6" s="1"/>
  <c r="M89" i="6" s="1"/>
  <c r="I112" i="6"/>
  <c r="N88" i="6" s="1"/>
  <c r="B109" i="24"/>
  <c r="F109" i="24"/>
  <c r="I113" i="9"/>
  <c r="N88" i="9" s="1"/>
  <c r="B110" i="23"/>
  <c r="F110" i="23"/>
  <c r="B111" i="22"/>
  <c r="F111" i="22"/>
  <c r="I105" i="30"/>
  <c r="N88" i="30" s="1"/>
  <c r="H105" i="30"/>
  <c r="M88" i="30" s="1"/>
  <c r="M89" i="30" s="1"/>
  <c r="H111" i="5"/>
  <c r="M88" i="5" s="1"/>
  <c r="M89" i="5" s="1"/>
  <c r="I111" i="5"/>
  <c r="N88" i="5" s="1"/>
  <c r="B107" i="29"/>
  <c r="F107" i="29"/>
  <c r="H103" i="43"/>
  <c r="I103" i="43"/>
  <c r="H112" i="8"/>
  <c r="M88" i="8" s="1"/>
  <c r="M89" i="8" s="1"/>
  <c r="I112" i="8"/>
  <c r="N88" i="8" s="1"/>
  <c r="B114" i="11"/>
  <c r="F114" i="11"/>
  <c r="H103" i="37"/>
  <c r="M88" i="37" s="1"/>
  <c r="M89" i="37" s="1"/>
  <c r="I103" i="37"/>
  <c r="N88" i="37" s="1"/>
  <c r="N89" i="30" l="1"/>
  <c r="O88" i="30"/>
  <c r="O89" i="30" s="1"/>
  <c r="N89" i="6"/>
  <c r="O88" i="6"/>
  <c r="O89" i="6" s="1"/>
  <c r="O88" i="4"/>
  <c r="O89" i="4" s="1"/>
  <c r="N89" i="4"/>
  <c r="N89" i="40"/>
  <c r="O88" i="40"/>
  <c r="O89" i="40" s="1"/>
  <c r="N89" i="10"/>
  <c r="O88" i="10"/>
  <c r="O89" i="10" s="1"/>
  <c r="O88" i="11"/>
  <c r="O89" i="11" s="1"/>
  <c r="N89" i="11"/>
  <c r="N89" i="22"/>
  <c r="O88" i="22"/>
  <c r="O89" i="22" s="1"/>
  <c r="N89" i="24"/>
  <c r="O88" i="24"/>
  <c r="O89" i="24" s="1"/>
  <c r="O88" i="5"/>
  <c r="O89" i="5" s="1"/>
  <c r="N89" i="5"/>
  <c r="O88" i="9"/>
  <c r="O89" i="9" s="1"/>
  <c r="N89" i="9"/>
  <c r="N89" i="39"/>
  <c r="O88" i="39"/>
  <c r="O89" i="39" s="1"/>
  <c r="N89" i="3"/>
  <c r="O88" i="3"/>
  <c r="O89" i="3" s="1"/>
  <c r="N89" i="31"/>
  <c r="O88" i="31"/>
  <c r="O89" i="31" s="1"/>
  <c r="O88" i="7"/>
  <c r="O89" i="7" s="1"/>
  <c r="N89" i="7"/>
  <c r="N89" i="27"/>
  <c r="O88" i="27"/>
  <c r="O89" i="27" s="1"/>
  <c r="N89" i="28"/>
  <c r="O88" i="28"/>
  <c r="O89" i="28" s="1"/>
  <c r="P108" i="25"/>
  <c r="N88" i="25"/>
  <c r="N89" i="23"/>
  <c r="O88" i="23"/>
  <c r="O89" i="23" s="1"/>
  <c r="N89" i="37"/>
  <c r="O88" i="37"/>
  <c r="O89" i="37" s="1"/>
  <c r="N89" i="8"/>
  <c r="O88" i="8"/>
  <c r="O89" i="8" s="1"/>
  <c r="N89" i="29"/>
  <c r="O88" i="29"/>
  <c r="O89" i="29" s="1"/>
  <c r="I104" i="44"/>
  <c r="J104" i="44"/>
  <c r="O88" i="46"/>
  <c r="O89" i="46" s="1"/>
  <c r="N18" i="2"/>
  <c r="I51" i="17"/>
  <c r="H104" i="47"/>
  <c r="I104" i="47"/>
  <c r="G104" i="46"/>
  <c r="E105" i="46"/>
  <c r="D105" i="46"/>
  <c r="B105" i="47"/>
  <c r="F105" i="47"/>
  <c r="G105" i="44"/>
  <c r="H105" i="44" s="1"/>
  <c r="B105" i="45"/>
  <c r="F105" i="45"/>
  <c r="H104" i="45"/>
  <c r="I104" i="45"/>
  <c r="E106" i="44"/>
  <c r="F106" i="44" s="1"/>
  <c r="B106" i="44"/>
  <c r="G105" i="42"/>
  <c r="D106" i="42"/>
  <c r="H104" i="38"/>
  <c r="I104" i="38"/>
  <c r="B105" i="38"/>
  <c r="F105" i="38"/>
  <c r="J104" i="42"/>
  <c r="I104" i="41"/>
  <c r="H104" i="41"/>
  <c r="E105" i="41"/>
  <c r="F105" i="41" s="1"/>
  <c r="B105" i="41"/>
  <c r="G113" i="8"/>
  <c r="D114" i="8"/>
  <c r="E114" i="8"/>
  <c r="J112" i="8"/>
  <c r="J113" i="9"/>
  <c r="J103" i="39"/>
  <c r="J110" i="25"/>
  <c r="J111" i="3"/>
  <c r="J108" i="24"/>
  <c r="J111" i="4"/>
  <c r="J103" i="37"/>
  <c r="G107" i="29"/>
  <c r="D108" i="29"/>
  <c r="E108" i="29"/>
  <c r="G106" i="30"/>
  <c r="D107" i="30"/>
  <c r="E107" i="30"/>
  <c r="G110" i="23"/>
  <c r="D111" i="23"/>
  <c r="E111" i="23"/>
  <c r="G109" i="24"/>
  <c r="D110" i="24"/>
  <c r="E110" i="24"/>
  <c r="G104" i="37"/>
  <c r="D105" i="37"/>
  <c r="E105" i="37"/>
  <c r="G104" i="43"/>
  <c r="D105" i="43"/>
  <c r="E105" i="43"/>
  <c r="J102" i="40"/>
  <c r="J114" i="10"/>
  <c r="J107" i="27"/>
  <c r="J106" i="28"/>
  <c r="G103" i="40"/>
  <c r="D104" i="40"/>
  <c r="E104" i="40"/>
  <c r="G115" i="7"/>
  <c r="D116" i="7"/>
  <c r="E116" i="7"/>
  <c r="G115" i="10"/>
  <c r="D116" i="10"/>
  <c r="E116" i="10"/>
  <c r="G112" i="3"/>
  <c r="D113" i="3"/>
  <c r="E113" i="3"/>
  <c r="G107" i="28"/>
  <c r="D108" i="28"/>
  <c r="E108" i="28"/>
  <c r="J110" i="22"/>
  <c r="G111" i="25"/>
  <c r="D112" i="25"/>
  <c r="E112" i="25"/>
  <c r="G111" i="22"/>
  <c r="D112" i="22"/>
  <c r="E112" i="22"/>
  <c r="G114" i="11"/>
  <c r="D115" i="11"/>
  <c r="E115" i="11"/>
  <c r="J103" i="43"/>
  <c r="J105" i="30"/>
  <c r="G112" i="5"/>
  <c r="D113" i="5"/>
  <c r="E113" i="5"/>
  <c r="J106" i="31"/>
  <c r="J106" i="29"/>
  <c r="G104" i="39"/>
  <c r="D105" i="39"/>
  <c r="E105" i="39"/>
  <c r="J111" i="5"/>
  <c r="J112" i="6"/>
  <c r="G114" i="9"/>
  <c r="D115" i="9"/>
  <c r="E115" i="9"/>
  <c r="J114" i="7"/>
  <c r="G113" i="6"/>
  <c r="D114" i="6"/>
  <c r="E114" i="6"/>
  <c r="G112" i="4"/>
  <c r="D113" i="4"/>
  <c r="E113" i="4"/>
  <c r="G107" i="31"/>
  <c r="D108" i="31"/>
  <c r="E108" i="31"/>
  <c r="J113" i="11"/>
  <c r="G108" i="27"/>
  <c r="D109" i="27"/>
  <c r="E109" i="27"/>
  <c r="J109" i="23"/>
  <c r="N89" i="25" l="1"/>
  <c r="O88" i="25"/>
  <c r="O89" i="25" s="1"/>
  <c r="O18" i="2"/>
  <c r="N19" i="2"/>
  <c r="N20" i="2" s="1"/>
  <c r="J104" i="47"/>
  <c r="B105" i="46"/>
  <c r="F105" i="46"/>
  <c r="D106" i="47"/>
  <c r="E106" i="47" s="1"/>
  <c r="G105" i="47"/>
  <c r="I104" i="46"/>
  <c r="H104" i="46"/>
  <c r="I105" i="44"/>
  <c r="J105" i="44" s="1"/>
  <c r="J104" i="45"/>
  <c r="G105" i="45"/>
  <c r="D106" i="45"/>
  <c r="E106" i="45"/>
  <c r="J104" i="38"/>
  <c r="J104" i="41"/>
  <c r="D107" i="44"/>
  <c r="G106" i="44"/>
  <c r="D106" i="41"/>
  <c r="G105" i="41"/>
  <c r="D106" i="38"/>
  <c r="G105" i="38"/>
  <c r="E106" i="42"/>
  <c r="F106" i="42" s="1"/>
  <c r="B106" i="42"/>
  <c r="I105" i="42"/>
  <c r="H105" i="42"/>
  <c r="B109" i="27"/>
  <c r="F109" i="27"/>
  <c r="B108" i="31"/>
  <c r="F108" i="31"/>
  <c r="H112" i="4"/>
  <c r="I112" i="4"/>
  <c r="H114" i="9"/>
  <c r="I114" i="9"/>
  <c r="H112" i="5"/>
  <c r="I112" i="5"/>
  <c r="B112" i="25"/>
  <c r="F112" i="25"/>
  <c r="B113" i="3"/>
  <c r="F113" i="3"/>
  <c r="H115" i="10"/>
  <c r="I115" i="10"/>
  <c r="B105" i="43"/>
  <c r="F105" i="43"/>
  <c r="I104" i="37"/>
  <c r="H104" i="37"/>
  <c r="B107" i="30"/>
  <c r="F107" i="30"/>
  <c r="H107" i="29"/>
  <c r="I107" i="29"/>
  <c r="I108" i="27"/>
  <c r="H108" i="27"/>
  <c r="H107" i="31"/>
  <c r="I107" i="31"/>
  <c r="B112" i="22"/>
  <c r="F112" i="22"/>
  <c r="H111" i="25"/>
  <c r="I111" i="25"/>
  <c r="P109" i="25" s="1"/>
  <c r="B108" i="28"/>
  <c r="F108" i="28"/>
  <c r="H112" i="3"/>
  <c r="I112" i="3"/>
  <c r="B104" i="40"/>
  <c r="F104" i="40"/>
  <c r="I104" i="43"/>
  <c r="H104" i="43"/>
  <c r="B111" i="23"/>
  <c r="F111" i="23"/>
  <c r="H106" i="30"/>
  <c r="I106" i="30"/>
  <c r="B114" i="6"/>
  <c r="F114" i="6"/>
  <c r="B105" i="39"/>
  <c r="F105" i="39"/>
  <c r="B115" i="11"/>
  <c r="F115" i="11"/>
  <c r="H111" i="22"/>
  <c r="I111" i="22"/>
  <c r="H107" i="28"/>
  <c r="I107" i="28"/>
  <c r="B116" i="7"/>
  <c r="F116" i="7"/>
  <c r="H103" i="40"/>
  <c r="I103" i="40"/>
  <c r="B110" i="24"/>
  <c r="F110" i="24"/>
  <c r="H110" i="23"/>
  <c r="I110" i="23"/>
  <c r="B114" i="8"/>
  <c r="F114" i="8"/>
  <c r="B113" i="4"/>
  <c r="F113" i="4"/>
  <c r="H113" i="6"/>
  <c r="I113" i="6"/>
  <c r="B115" i="9"/>
  <c r="F115" i="9"/>
  <c r="H104" i="39"/>
  <c r="I104" i="39"/>
  <c r="B113" i="5"/>
  <c r="F113" i="5"/>
  <c r="H114" i="11"/>
  <c r="I114" i="11"/>
  <c r="B116" i="10"/>
  <c r="F116" i="10"/>
  <c r="H115" i="7"/>
  <c r="I115" i="7"/>
  <c r="B105" i="37"/>
  <c r="F105" i="37"/>
  <c r="H109" i="24"/>
  <c r="I109" i="24"/>
  <c r="B108" i="29"/>
  <c r="F108" i="29"/>
  <c r="H113" i="8"/>
  <c r="I113" i="8"/>
  <c r="O19" i="2" l="1"/>
  <c r="O20" i="2" s="1"/>
  <c r="P18" i="2"/>
  <c r="P19" i="2" s="1"/>
  <c r="P20" i="2" s="1"/>
  <c r="I105" i="47"/>
  <c r="H105" i="47"/>
  <c r="B106" i="47"/>
  <c r="F106" i="47"/>
  <c r="J104" i="46"/>
  <c r="E106" i="46"/>
  <c r="G105" i="46"/>
  <c r="D106" i="46"/>
  <c r="B106" i="45"/>
  <c r="F106" i="45"/>
  <c r="H105" i="45"/>
  <c r="I105" i="45"/>
  <c r="J105" i="42"/>
  <c r="H106" i="44"/>
  <c r="I106" i="44"/>
  <c r="E107" i="44"/>
  <c r="F107" i="44" s="1"/>
  <c r="B107" i="44"/>
  <c r="I105" i="38"/>
  <c r="H105" i="38"/>
  <c r="D107" i="42"/>
  <c r="G106" i="42"/>
  <c r="E106" i="38"/>
  <c r="F106" i="38" s="1"/>
  <c r="B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F106" i="46" l="1"/>
  <c r="B106" i="46"/>
  <c r="D107" i="47"/>
  <c r="E107" i="47" s="1"/>
  <c r="G106" i="47"/>
  <c r="H105" i="46"/>
  <c r="I105" i="46"/>
  <c r="J105" i="47"/>
  <c r="J105" i="45"/>
  <c r="G106" i="45"/>
  <c r="D107" i="45"/>
  <c r="E107" i="45"/>
  <c r="J106" i="44"/>
  <c r="D108" i="44"/>
  <c r="G107" i="44"/>
  <c r="H106" i="42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J105" i="46" l="1"/>
  <c r="H106" i="47"/>
  <c r="I106" i="47"/>
  <c r="F107" i="47"/>
  <c r="B107" i="47"/>
  <c r="D107" i="46"/>
  <c r="G106" i="46"/>
  <c r="E107" i="46"/>
  <c r="B107" i="45"/>
  <c r="F107" i="45"/>
  <c r="I106" i="45"/>
  <c r="H106" i="45"/>
  <c r="E108" i="44"/>
  <c r="F108" i="44" s="1"/>
  <c r="B108" i="44"/>
  <c r="H107" i="44"/>
  <c r="I107" i="44"/>
  <c r="J106" i="42"/>
  <c r="G107" i="42"/>
  <c r="D108" i="42"/>
  <c r="I106" i="41"/>
  <c r="H106" i="41"/>
  <c r="E107" i="41"/>
  <c r="F107" i="41" s="1"/>
  <c r="B107" i="41"/>
  <c r="H106" i="38"/>
  <c r="I106" i="38"/>
  <c r="E107" i="38"/>
  <c r="F107" i="38" s="1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J106" i="47" l="1"/>
  <c r="D108" i="47"/>
  <c r="G107" i="47"/>
  <c r="E108" i="47"/>
  <c r="I106" i="46"/>
  <c r="H106" i="46"/>
  <c r="B107" i="46"/>
  <c r="F107" i="46"/>
  <c r="J106" i="45"/>
  <c r="E108" i="45"/>
  <c r="D108" i="45"/>
  <c r="G107" i="45"/>
  <c r="D109" i="44"/>
  <c r="G108" i="44"/>
  <c r="J107" i="44"/>
  <c r="J106" i="4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J106" i="46" l="1"/>
  <c r="D108" i="46"/>
  <c r="B108" i="46" s="1"/>
  <c r="E108" i="46"/>
  <c r="G107" i="46"/>
  <c r="H107" i="47"/>
  <c r="I107" i="47"/>
  <c r="F108" i="47"/>
  <c r="B108" i="47"/>
  <c r="B108" i="45"/>
  <c r="F108" i="45"/>
  <c r="H107" i="45"/>
  <c r="I107" i="45"/>
  <c r="I108" i="44"/>
  <c r="H108" i="44"/>
  <c r="E109" i="44"/>
  <c r="F109" i="44" s="1"/>
  <c r="B109" i="44"/>
  <c r="G108" i="42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F108" i="46" l="1"/>
  <c r="I107" i="46"/>
  <c r="H107" i="46"/>
  <c r="D109" i="47"/>
  <c r="E109" i="47" s="1"/>
  <c r="G108" i="47"/>
  <c r="G108" i="46"/>
  <c r="E109" i="46"/>
  <c r="D109" i="46"/>
  <c r="B109" i="46" s="1"/>
  <c r="J107" i="47"/>
  <c r="J107" i="45"/>
  <c r="G108" i="45"/>
  <c r="E109" i="45"/>
  <c r="D109" i="45"/>
  <c r="D110" i="44"/>
  <c r="G109" i="44"/>
  <c r="J108" i="44"/>
  <c r="J107" i="41"/>
  <c r="D109" i="41"/>
  <c r="B109" i="41" s="1"/>
  <c r="G108" i="41"/>
  <c r="E109" i="41"/>
  <c r="G108" i="38"/>
  <c r="D109" i="38"/>
  <c r="E109" i="42"/>
  <c r="F109" i="42" s="1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H108" i="47" l="1"/>
  <c r="I108" i="47"/>
  <c r="F109" i="46"/>
  <c r="F109" i="47"/>
  <c r="B109" i="47"/>
  <c r="H108" i="46"/>
  <c r="I108" i="46"/>
  <c r="J107" i="46"/>
  <c r="B109" i="45"/>
  <c r="F109" i="45"/>
  <c r="I108" i="45"/>
  <c r="H108" i="45"/>
  <c r="I109" i="44"/>
  <c r="H109" i="44"/>
  <c r="E110" i="44"/>
  <c r="F110" i="44" s="1"/>
  <c r="B110" i="44"/>
  <c r="F109" i="41"/>
  <c r="D110" i="41" s="1"/>
  <c r="I108" i="38"/>
  <c r="H108" i="38"/>
  <c r="G109" i="42"/>
  <c r="D110" i="42"/>
  <c r="J108" i="42"/>
  <c r="H108" i="41"/>
  <c r="I108" i="41"/>
  <c r="E109" i="38"/>
  <c r="F109" i="38" s="1"/>
  <c r="B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J108" i="47" l="1"/>
  <c r="D110" i="47"/>
  <c r="G109" i="47"/>
  <c r="E110" i="47"/>
  <c r="J108" i="46"/>
  <c r="D110" i="46"/>
  <c r="B110" i="46" s="1"/>
  <c r="E110" i="46"/>
  <c r="G109" i="46"/>
  <c r="G109" i="41"/>
  <c r="H109" i="41" s="1"/>
  <c r="D110" i="45"/>
  <c r="E110" i="45"/>
  <c r="G109" i="45"/>
  <c r="J108" i="45"/>
  <c r="G110" i="44"/>
  <c r="D111" i="44"/>
  <c r="J109" i="44"/>
  <c r="J108" i="38"/>
  <c r="G109" i="38"/>
  <c r="D110" i="38"/>
  <c r="E110" i="42"/>
  <c r="F110" i="42" s="1"/>
  <c r="B110" i="42"/>
  <c r="I109" i="42"/>
  <c r="H109" i="42"/>
  <c r="E110" i="41"/>
  <c r="F110" i="41" s="1"/>
  <c r="B110" i="41"/>
  <c r="J108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I109" i="41" l="1"/>
  <c r="F110" i="46"/>
  <c r="G110" i="46" s="1"/>
  <c r="H109" i="46"/>
  <c r="I109" i="46"/>
  <c r="J109" i="46" s="1"/>
  <c r="H109" i="47"/>
  <c r="I109" i="47"/>
  <c r="B110" i="47"/>
  <c r="F110" i="47"/>
  <c r="H109" i="45"/>
  <c r="I109" i="45"/>
  <c r="B110" i="45"/>
  <c r="F110" i="45"/>
  <c r="E111" i="44"/>
  <c r="F111" i="44" s="1"/>
  <c r="B111" i="44"/>
  <c r="I110" i="44"/>
  <c r="H110" i="44"/>
  <c r="J109" i="4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E111" i="46" l="1"/>
  <c r="D111" i="46"/>
  <c r="F111" i="46" s="1"/>
  <c r="J109" i="47"/>
  <c r="B111" i="46"/>
  <c r="I110" i="46"/>
  <c r="H110" i="46"/>
  <c r="D111" i="47"/>
  <c r="E111" i="47" s="1"/>
  <c r="G110" i="47"/>
  <c r="J109" i="45"/>
  <c r="D111" i="45"/>
  <c r="E111" i="45"/>
  <c r="G110" i="45"/>
  <c r="G111" i="44"/>
  <c r="D112" i="44"/>
  <c r="B112" i="44" s="1"/>
  <c r="E112" i="44"/>
  <c r="J110" i="44"/>
  <c r="D111" i="38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J110" i="46" l="1"/>
  <c r="H110" i="47"/>
  <c r="I110" i="47"/>
  <c r="D112" i="46"/>
  <c r="G111" i="46"/>
  <c r="E112" i="46"/>
  <c r="B111" i="47"/>
  <c r="F111" i="47"/>
  <c r="I110" i="45"/>
  <c r="H110" i="45"/>
  <c r="B111" i="45"/>
  <c r="F111" i="45"/>
  <c r="F112" i="44"/>
  <c r="E113" i="44" s="1"/>
  <c r="H111" i="44"/>
  <c r="I111" i="44"/>
  <c r="J110" i="4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J110" i="47" l="1"/>
  <c r="D112" i="47"/>
  <c r="E112" i="47" s="1"/>
  <c r="G111" i="47"/>
  <c r="F112" i="46"/>
  <c r="B112" i="46"/>
  <c r="I111" i="46"/>
  <c r="H111" i="46"/>
  <c r="E112" i="45"/>
  <c r="G111" i="45"/>
  <c r="D112" i="45"/>
  <c r="J110" i="45"/>
  <c r="D113" i="44"/>
  <c r="B113" i="44" s="1"/>
  <c r="G112" i="44"/>
  <c r="H112" i="44" s="1"/>
  <c r="J111" i="44"/>
  <c r="E112" i="38"/>
  <c r="F112" i="38" s="1"/>
  <c r="G111" i="38"/>
  <c r="H111" i="38" s="1"/>
  <c r="F112" i="42"/>
  <c r="I111" i="42"/>
  <c r="H111" i="42"/>
  <c r="I111" i="41"/>
  <c r="H111" i="41"/>
  <c r="J110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G112" i="46" l="1"/>
  <c r="E113" i="46"/>
  <c r="D113" i="46"/>
  <c r="J111" i="46"/>
  <c r="H111" i="47"/>
  <c r="I111" i="47"/>
  <c r="B112" i="47"/>
  <c r="F112" i="47"/>
  <c r="I112" i="44"/>
  <c r="J112" i="44" s="1"/>
  <c r="B112" i="45"/>
  <c r="F112" i="45"/>
  <c r="I111" i="45"/>
  <c r="H111" i="45"/>
  <c r="F113" i="44"/>
  <c r="G113" i="44" s="1"/>
  <c r="I111" i="38"/>
  <c r="J111" i="38" s="1"/>
  <c r="J111" i="42"/>
  <c r="D113" i="41"/>
  <c r="G112" i="41"/>
  <c r="J111" i="41"/>
  <c r="J114" i="27"/>
  <c r="D113" i="38"/>
  <c r="B113" i="38" s="1"/>
  <c r="G112" i="38"/>
  <c r="E113" i="38"/>
  <c r="D113" i="42"/>
  <c r="B113" i="42" s="1"/>
  <c r="G112" i="42"/>
  <c r="E113" i="42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J111" i="47" l="1"/>
  <c r="D113" i="47"/>
  <c r="E113" i="47" s="1"/>
  <c r="G112" i="47"/>
  <c r="B113" i="46"/>
  <c r="F113" i="46"/>
  <c r="I112" i="46"/>
  <c r="H112" i="46"/>
  <c r="E114" i="44"/>
  <c r="D114" i="44"/>
  <c r="B114" i="44" s="1"/>
  <c r="J111" i="45"/>
  <c r="E113" i="45"/>
  <c r="G112" i="45"/>
  <c r="D113" i="45"/>
  <c r="I113" i="44"/>
  <c r="H113" i="44"/>
  <c r="F113" i="42"/>
  <c r="G113" i="42" s="1"/>
  <c r="F113" i="38"/>
  <c r="G113" i="38" s="1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J112" i="46" l="1"/>
  <c r="I112" i="47"/>
  <c r="H112" i="47"/>
  <c r="G113" i="46"/>
  <c r="E114" i="46"/>
  <c r="D114" i="46"/>
  <c r="B113" i="47"/>
  <c r="F113" i="47"/>
  <c r="F114" i="44"/>
  <c r="E115" i="44" s="1"/>
  <c r="B113" i="45"/>
  <c r="F113" i="45"/>
  <c r="I112" i="45"/>
  <c r="H112" i="45"/>
  <c r="D114" i="42"/>
  <c r="B114" i="42" s="1"/>
  <c r="D114" i="38"/>
  <c r="B114" i="38" s="1"/>
  <c r="J113" i="44"/>
  <c r="J112" i="42"/>
  <c r="J112" i="38"/>
  <c r="G113" i="41"/>
  <c r="D114" i="41"/>
  <c r="H113" i="42"/>
  <c r="I113" i="42"/>
  <c r="E114" i="42"/>
  <c r="E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B114" i="46" l="1"/>
  <c r="F114" i="46"/>
  <c r="J112" i="47"/>
  <c r="D114" i="47"/>
  <c r="E114" i="47" s="1"/>
  <c r="G113" i="47"/>
  <c r="I113" i="46"/>
  <c r="H113" i="46"/>
  <c r="G114" i="44"/>
  <c r="H114" i="44" s="1"/>
  <c r="D115" i="44"/>
  <c r="B115" i="44" s="1"/>
  <c r="F114" i="42"/>
  <c r="E115" i="42" s="1"/>
  <c r="D114" i="45"/>
  <c r="G113" i="45"/>
  <c r="E114" i="45"/>
  <c r="J112" i="45"/>
  <c r="F114" i="38"/>
  <c r="G114" i="38" s="1"/>
  <c r="J113" i="38"/>
  <c r="J113" i="42"/>
  <c r="E114" i="41"/>
  <c r="F114" i="41" s="1"/>
  <c r="B114" i="41"/>
  <c r="H113" i="41"/>
  <c r="I113" i="4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J113" i="46" l="1"/>
  <c r="B114" i="47"/>
  <c r="F114" i="47"/>
  <c r="D115" i="46"/>
  <c r="B115" i="46" s="1"/>
  <c r="G114" i="46"/>
  <c r="E115" i="46"/>
  <c r="H113" i="47"/>
  <c r="I113" i="47"/>
  <c r="D115" i="38"/>
  <c r="I114" i="44"/>
  <c r="J114" i="44" s="1"/>
  <c r="G114" i="42"/>
  <c r="H114" i="42" s="1"/>
  <c r="F115" i="44"/>
  <c r="D116" i="44" s="1"/>
  <c r="B116" i="44" s="1"/>
  <c r="D115" i="42"/>
  <c r="B115" i="42" s="1"/>
  <c r="H113" i="45"/>
  <c r="I113" i="45"/>
  <c r="B114" i="45"/>
  <c r="F114" i="45"/>
  <c r="J113" i="41"/>
  <c r="G114" i="41"/>
  <c r="D115" i="41"/>
  <c r="I114" i="38"/>
  <c r="H114" i="38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J113" i="47" l="1"/>
  <c r="I114" i="42"/>
  <c r="D115" i="47"/>
  <c r="E115" i="47" s="1"/>
  <c r="G114" i="47"/>
  <c r="F115" i="46"/>
  <c r="H114" i="46"/>
  <c r="I114" i="46"/>
  <c r="F115" i="42"/>
  <c r="D116" i="42" s="1"/>
  <c r="B116" i="42" s="1"/>
  <c r="E116" i="44"/>
  <c r="F116" i="44" s="1"/>
  <c r="G116" i="44" s="1"/>
  <c r="G115" i="44"/>
  <c r="J113" i="45"/>
  <c r="G114" i="45"/>
  <c r="E115" i="45"/>
  <c r="D115" i="45"/>
  <c r="J114" i="38"/>
  <c r="D116" i="38"/>
  <c r="G115" i="38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G115" i="46" l="1"/>
  <c r="E116" i="46"/>
  <c r="D116" i="46"/>
  <c r="J114" i="46"/>
  <c r="I114" i="47"/>
  <c r="H114" i="47"/>
  <c r="F115" i="47"/>
  <c r="B115" i="47"/>
  <c r="D117" i="44"/>
  <c r="G115" i="42"/>
  <c r="H115" i="42" s="1"/>
  <c r="E116" i="42"/>
  <c r="F116" i="42" s="1"/>
  <c r="I115" i="44"/>
  <c r="H115" i="44"/>
  <c r="B115" i="45"/>
  <c r="F115" i="45"/>
  <c r="I114" i="45"/>
  <c r="H114" i="45"/>
  <c r="H116" i="44"/>
  <c r="I116" i="44"/>
  <c r="E117" i="44"/>
  <c r="F117" i="44" s="1"/>
  <c r="B117" i="44"/>
  <c r="D116" i="41"/>
  <c r="B116" i="41" s="1"/>
  <c r="G115" i="41"/>
  <c r="E116" i="41"/>
  <c r="J114" i="41"/>
  <c r="H115" i="38"/>
  <c r="I115" i="38"/>
  <c r="E116" i="38"/>
  <c r="F116" i="38" s="1"/>
  <c r="B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G115" i="47" l="1"/>
  <c r="D116" i="47"/>
  <c r="E116" i="47" s="1"/>
  <c r="F116" i="46"/>
  <c r="B116" i="46"/>
  <c r="J114" i="47"/>
  <c r="H115" i="46"/>
  <c r="I115" i="46"/>
  <c r="I115" i="42"/>
  <c r="J115" i="42" s="1"/>
  <c r="J115" i="44"/>
  <c r="J116" i="44"/>
  <c r="G115" i="45"/>
  <c r="D116" i="45"/>
  <c r="E116" i="45"/>
  <c r="J114" i="45"/>
  <c r="G117" i="44"/>
  <c r="D118" i="44"/>
  <c r="B118" i="44" s="1"/>
  <c r="E118" i="44"/>
  <c r="F116" i="41"/>
  <c r="G116" i="41" s="1"/>
  <c r="D117" i="38"/>
  <c r="G116" i="38"/>
  <c r="J115" i="38"/>
  <c r="I115" i="41"/>
  <c r="H115" i="41"/>
  <c r="G116" i="42"/>
  <c r="D117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J115" i="46" l="1"/>
  <c r="E117" i="46"/>
  <c r="G116" i="46"/>
  <c r="D117" i="46"/>
  <c r="B117" i="46" s="1"/>
  <c r="B116" i="47"/>
  <c r="F116" i="47"/>
  <c r="H115" i="47"/>
  <c r="I115" i="47"/>
  <c r="B116" i="45"/>
  <c r="F116" i="45"/>
  <c r="I115" i="45"/>
  <c r="H115" i="45"/>
  <c r="F118" i="44"/>
  <c r="G118" i="44" s="1"/>
  <c r="D117" i="41"/>
  <c r="B117" i="41" s="1"/>
  <c r="I117" i="44"/>
  <c r="H117" i="44"/>
  <c r="H116" i="42"/>
  <c r="I116" i="42"/>
  <c r="I116" i="41"/>
  <c r="H116" i="41"/>
  <c r="J115" i="41"/>
  <c r="H116" i="38"/>
  <c r="I116" i="38"/>
  <c r="E117" i="42"/>
  <c r="F117" i="42" s="1"/>
  <c r="B117" i="42"/>
  <c r="E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J115" i="47" l="1"/>
  <c r="H116" i="46"/>
  <c r="I116" i="46"/>
  <c r="D117" i="47"/>
  <c r="E117" i="47" s="1"/>
  <c r="G116" i="47"/>
  <c r="F117" i="46"/>
  <c r="G116" i="45"/>
  <c r="E117" i="45"/>
  <c r="D117" i="45"/>
  <c r="J115" i="45"/>
  <c r="D119" i="44"/>
  <c r="B119" i="44" s="1"/>
  <c r="J116" i="42"/>
  <c r="F117" i="41"/>
  <c r="D118" i="41" s="1"/>
  <c r="B118" i="41" s="1"/>
  <c r="J116" i="38"/>
  <c r="J117" i="44"/>
  <c r="E119" i="44"/>
  <c r="H118" i="44"/>
  <c r="I118" i="44"/>
  <c r="G117" i="42"/>
  <c r="D118" i="42"/>
  <c r="D118" i="38"/>
  <c r="B118" i="38" s="1"/>
  <c r="G117" i="38"/>
  <c r="E118" i="38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J116" i="46" l="1"/>
  <c r="H116" i="47"/>
  <c r="I116" i="47"/>
  <c r="B117" i="47"/>
  <c r="F117" i="47"/>
  <c r="E118" i="46"/>
  <c r="G117" i="46"/>
  <c r="D118" i="46"/>
  <c r="B117" i="45"/>
  <c r="F117" i="45"/>
  <c r="H116" i="45"/>
  <c r="I116" i="45"/>
  <c r="G117" i="41"/>
  <c r="H117" i="41" s="1"/>
  <c r="F119" i="44"/>
  <c r="D120" i="44" s="1"/>
  <c r="B120" i="44" s="1"/>
  <c r="E118" i="41"/>
  <c r="F118" i="41" s="1"/>
  <c r="J118" i="44"/>
  <c r="F118" i="38"/>
  <c r="E119" i="38" s="1"/>
  <c r="H117" i="38"/>
  <c r="I117" i="38"/>
  <c r="E118" i="42"/>
  <c r="F118" i="42" s="1"/>
  <c r="B118" i="42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J116" i="47" l="1"/>
  <c r="D118" i="47"/>
  <c r="E118" i="47" s="1"/>
  <c r="G117" i="47"/>
  <c r="F118" i="46"/>
  <c r="B118" i="46"/>
  <c r="I117" i="46"/>
  <c r="H117" i="46"/>
  <c r="I117" i="41"/>
  <c r="J117" i="41" s="1"/>
  <c r="J116" i="45"/>
  <c r="E118" i="45"/>
  <c r="D118" i="45"/>
  <c r="G117" i="45"/>
  <c r="E120" i="44"/>
  <c r="F120" i="44" s="1"/>
  <c r="D121" i="44" s="1"/>
  <c r="B121" i="44" s="1"/>
  <c r="D119" i="38"/>
  <c r="B119" i="38" s="1"/>
  <c r="G119" i="44"/>
  <c r="H119" i="44" s="1"/>
  <c r="G118" i="38"/>
  <c r="H118" i="38" s="1"/>
  <c r="G118" i="42"/>
  <c r="D119" i="42"/>
  <c r="B119" i="42" s="1"/>
  <c r="E119" i="42"/>
  <c r="D119" i="41"/>
  <c r="G118" i="41"/>
  <c r="J117" i="42"/>
  <c r="J117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G118" i="46" l="1"/>
  <c r="D119" i="46"/>
  <c r="E119" i="46"/>
  <c r="J117" i="46"/>
  <c r="I117" i="47"/>
  <c r="H117" i="47"/>
  <c r="F118" i="47"/>
  <c r="B118" i="47"/>
  <c r="F119" i="38"/>
  <c r="G119" i="38" s="1"/>
  <c r="I117" i="45"/>
  <c r="H117" i="45"/>
  <c r="F118" i="45"/>
  <c r="B118" i="45"/>
  <c r="I119" i="44"/>
  <c r="J119" i="44" s="1"/>
  <c r="I118" i="38"/>
  <c r="J118" i="38" s="1"/>
  <c r="D120" i="38"/>
  <c r="B120" i="38" s="1"/>
  <c r="E121" i="44"/>
  <c r="F121" i="44" s="1"/>
  <c r="G121" i="44" s="1"/>
  <c r="G120" i="44"/>
  <c r="I120" i="44" s="1"/>
  <c r="F119" i="42"/>
  <c r="G119" i="42" s="1"/>
  <c r="E120" i="38"/>
  <c r="E119" i="41"/>
  <c r="F119" i="41" s="1"/>
  <c r="B119" i="41"/>
  <c r="H119" i="38"/>
  <c r="I119" i="38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 s="1"/>
  <c r="G121" i="27"/>
  <c r="D122" i="27"/>
  <c r="E122" i="27"/>
  <c r="G120" i="29"/>
  <c r="D121" i="29"/>
  <c r="E121" i="29"/>
  <c r="G126" i="8"/>
  <c r="D127" i="8"/>
  <c r="E127" i="8" s="1"/>
  <c r="D119" i="47" l="1"/>
  <c r="G118" i="47"/>
  <c r="E119" i="47"/>
  <c r="F119" i="46"/>
  <c r="B119" i="46"/>
  <c r="J117" i="47"/>
  <c r="H118" i="46"/>
  <c r="I118" i="46"/>
  <c r="J118" i="46" s="1"/>
  <c r="G118" i="45"/>
  <c r="D119" i="45"/>
  <c r="B119" i="45" s="1"/>
  <c r="E119" i="45"/>
  <c r="J117" i="45"/>
  <c r="F120" i="38"/>
  <c r="E121" i="38" s="1"/>
  <c r="J118" i="41"/>
  <c r="J119" i="38"/>
  <c r="D122" i="44"/>
  <c r="B122" i="44" s="1"/>
  <c r="H120" i="44"/>
  <c r="J120" i="44" s="1"/>
  <c r="D120" i="42"/>
  <c r="B120" i="42" s="1"/>
  <c r="H121" i="44"/>
  <c r="I121" i="44"/>
  <c r="J118" i="42"/>
  <c r="D120" i="41"/>
  <c r="G119" i="41"/>
  <c r="H119" i="42"/>
  <c r="I119" i="42"/>
  <c r="E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G119" i="46" l="1"/>
  <c r="E120" i="46"/>
  <c r="D120" i="46"/>
  <c r="H118" i="47"/>
  <c r="I118" i="47"/>
  <c r="B119" i="47"/>
  <c r="F119" i="47"/>
  <c r="D121" i="38"/>
  <c r="B121" i="38" s="1"/>
  <c r="G120" i="38"/>
  <c r="F119" i="45"/>
  <c r="G119" i="45" s="1"/>
  <c r="I118" i="45"/>
  <c r="H118" i="45"/>
  <c r="E122" i="44"/>
  <c r="F122" i="44" s="1"/>
  <c r="D123" i="44" s="1"/>
  <c r="B123" i="44" s="1"/>
  <c r="F120" i="42"/>
  <c r="G120" i="42" s="1"/>
  <c r="J121" i="44"/>
  <c r="J119" i="42"/>
  <c r="H120" i="38"/>
  <c r="I120" i="38"/>
  <c r="I119" i="41"/>
  <c r="H119" i="41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 s="1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 s="1"/>
  <c r="G117" i="40"/>
  <c r="D118" i="40"/>
  <c r="E118" i="40"/>
  <c r="J126" i="6"/>
  <c r="J126" i="8"/>
  <c r="G125" i="22"/>
  <c r="D126" i="22"/>
  <c r="E126" i="22" s="1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 s="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 s="1"/>
  <c r="D120" i="47" l="1"/>
  <c r="G119" i="47"/>
  <c r="E120" i="47"/>
  <c r="B120" i="46"/>
  <c r="F120" i="46"/>
  <c r="F121" i="38"/>
  <c r="J118" i="47"/>
  <c r="H119" i="46"/>
  <c r="I119" i="46"/>
  <c r="D120" i="45"/>
  <c r="B120" i="45" s="1"/>
  <c r="J118" i="45"/>
  <c r="E120" i="45"/>
  <c r="I119" i="45"/>
  <c r="H119" i="45"/>
  <c r="D121" i="42"/>
  <c r="B121" i="42" s="1"/>
  <c r="E123" i="44"/>
  <c r="F123" i="44" s="1"/>
  <c r="D124" i="44" s="1"/>
  <c r="B124" i="44" s="1"/>
  <c r="G122" i="44"/>
  <c r="H122" i="44" s="1"/>
  <c r="J120" i="38"/>
  <c r="D122" i="38"/>
  <c r="G121" i="38"/>
  <c r="D121" i="41"/>
  <c r="B121" i="41" s="1"/>
  <c r="G120" i="41"/>
  <c r="E121" i="42"/>
  <c r="F121" i="42" s="1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H119" i="47" l="1"/>
  <c r="I119" i="47"/>
  <c r="J119" i="46"/>
  <c r="E121" i="46"/>
  <c r="D121" i="46"/>
  <c r="G120" i="46"/>
  <c r="F120" i="47"/>
  <c r="B120" i="47"/>
  <c r="F120" i="45"/>
  <c r="E121" i="45" s="1"/>
  <c r="J119" i="45"/>
  <c r="G123" i="44"/>
  <c r="I123" i="44" s="1"/>
  <c r="I122" i="44"/>
  <c r="J122" i="44" s="1"/>
  <c r="E124" i="44"/>
  <c r="F124" i="44" s="1"/>
  <c r="E121" i="41"/>
  <c r="F121" i="41" s="1"/>
  <c r="D122" i="42"/>
  <c r="B122" i="42" s="1"/>
  <c r="G121" i="42"/>
  <c r="E122" i="42"/>
  <c r="J120" i="42"/>
  <c r="I121" i="38"/>
  <c r="H121" i="38"/>
  <c r="E122" i="38"/>
  <c r="F122" i="38" s="1"/>
  <c r="B122" i="38"/>
  <c r="H120" i="41"/>
  <c r="I120" i="4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J119" i="47" l="1"/>
  <c r="G120" i="47"/>
  <c r="D121" i="47"/>
  <c r="E121" i="47" s="1"/>
  <c r="I120" i="46"/>
  <c r="J120" i="46" s="1"/>
  <c r="H120" i="46"/>
  <c r="B121" i="46"/>
  <c r="F121" i="46"/>
  <c r="G120" i="45"/>
  <c r="H120" i="45" s="1"/>
  <c r="D121" i="45"/>
  <c r="F121" i="45" s="1"/>
  <c r="H123" i="44"/>
  <c r="J123" i="44" s="1"/>
  <c r="G124" i="44"/>
  <c r="H124" i="44" s="1"/>
  <c r="D125" i="44"/>
  <c r="B125" i="44" s="1"/>
  <c r="E125" i="44"/>
  <c r="J120" i="41"/>
  <c r="F122" i="42"/>
  <c r="G122" i="42" s="1"/>
  <c r="J121" i="38"/>
  <c r="G122" i="38"/>
  <c r="D123" i="38"/>
  <c r="G121" i="41"/>
  <c r="D122" i="41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I120" i="45" l="1"/>
  <c r="J120" i="45" s="1"/>
  <c r="E122" i="46"/>
  <c r="D122" i="46"/>
  <c r="G121" i="46"/>
  <c r="F121" i="47"/>
  <c r="B121" i="47"/>
  <c r="I120" i="47"/>
  <c r="H120" i="47"/>
  <c r="B121" i="45"/>
  <c r="I124" i="44"/>
  <c r="J124" i="44" s="1"/>
  <c r="F125" i="44"/>
  <c r="G125" i="44" s="1"/>
  <c r="G121" i="45"/>
  <c r="D122" i="45"/>
  <c r="D123" i="42"/>
  <c r="B123" i="42" s="1"/>
  <c r="J121" i="42"/>
  <c r="E122" i="41"/>
  <c r="F122" i="41" s="1"/>
  <c r="B122" i="41"/>
  <c r="I121" i="41"/>
  <c r="H121" i="41"/>
  <c r="E123" i="42"/>
  <c r="E123" i="38"/>
  <c r="F123" i="38" s="1"/>
  <c r="B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 s="1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 s="1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 s="1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 s="1"/>
  <c r="J128" i="6"/>
  <c r="G120" i="39"/>
  <c r="D121" i="39"/>
  <c r="E121" i="39" s="1"/>
  <c r="J130" i="7"/>
  <c r="J129" i="11"/>
  <c r="G130" i="11"/>
  <c r="D131" i="11"/>
  <c r="E131" i="11" s="1"/>
  <c r="J130" i="10"/>
  <c r="J122" i="31"/>
  <c r="J125" i="23"/>
  <c r="G121" i="47" l="1"/>
  <c r="D122" i="47"/>
  <c r="E122" i="47" s="1"/>
  <c r="H121" i="46"/>
  <c r="I121" i="46"/>
  <c r="J120" i="47"/>
  <c r="B122" i="46"/>
  <c r="F122" i="46"/>
  <c r="D126" i="44"/>
  <c r="B126" i="44" s="1"/>
  <c r="F123" i="42"/>
  <c r="G123" i="42" s="1"/>
  <c r="E122" i="45"/>
  <c r="F122" i="45" s="1"/>
  <c r="B122" i="45"/>
  <c r="I121" i="45"/>
  <c r="H121" i="45"/>
  <c r="H125" i="44"/>
  <c r="I125" i="44"/>
  <c r="E126" i="44"/>
  <c r="J121" i="41"/>
  <c r="G123" i="38"/>
  <c r="D124" i="38"/>
  <c r="B124" i="38" s="1"/>
  <c r="E124" i="38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D123" i="46" l="1"/>
  <c r="E123" i="46"/>
  <c r="G122" i="46"/>
  <c r="F122" i="47"/>
  <c r="B122" i="47"/>
  <c r="F126" i="44"/>
  <c r="D127" i="44" s="1"/>
  <c r="J121" i="46"/>
  <c r="H121" i="47"/>
  <c r="I121" i="47"/>
  <c r="D124" i="42"/>
  <c r="J121" i="45"/>
  <c r="G122" i="45"/>
  <c r="D123" i="45"/>
  <c r="B123" i="45" s="1"/>
  <c r="E123" i="45"/>
  <c r="J125" i="44"/>
  <c r="G126" i="44"/>
  <c r="F124" i="38"/>
  <c r="G124" i="38" s="1"/>
  <c r="H122" i="41"/>
  <c r="I122" i="41"/>
  <c r="I123" i="42"/>
  <c r="H123" i="42"/>
  <c r="E123" i="41"/>
  <c r="F123" i="41" s="1"/>
  <c r="B123" i="41"/>
  <c r="E124" i="42"/>
  <c r="B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 s="1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 s="1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 s="1"/>
  <c r="G121" i="43"/>
  <c r="D122" i="43"/>
  <c r="E122" i="43" s="1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F124" i="42" l="1"/>
  <c r="G122" i="47"/>
  <c r="D123" i="47"/>
  <c r="E123" i="47" s="1"/>
  <c r="H122" i="46"/>
  <c r="I122" i="46"/>
  <c r="J121" i="47"/>
  <c r="F123" i="46"/>
  <c r="B123" i="46"/>
  <c r="F123" i="45"/>
  <c r="G123" i="45" s="1"/>
  <c r="H122" i="45"/>
  <c r="I122" i="45"/>
  <c r="D125" i="38"/>
  <c r="B125" i="38" s="1"/>
  <c r="J122" i="41"/>
  <c r="H126" i="44"/>
  <c r="I126" i="44"/>
  <c r="E127" i="44"/>
  <c r="F127" i="44" s="1"/>
  <c r="B127" i="44"/>
  <c r="J123" i="42"/>
  <c r="D125" i="42"/>
  <c r="G124" i="42"/>
  <c r="E125" i="38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D124" i="46" l="1"/>
  <c r="G123" i="46"/>
  <c r="E124" i="46"/>
  <c r="B123" i="47"/>
  <c r="F123" i="47"/>
  <c r="J122" i="46"/>
  <c r="H122" i="47"/>
  <c r="I122" i="47"/>
  <c r="E124" i="45"/>
  <c r="D124" i="45"/>
  <c r="B124" i="45" s="1"/>
  <c r="F125" i="38"/>
  <c r="G125" i="38" s="1"/>
  <c r="J122" i="45"/>
  <c r="H123" i="45"/>
  <c r="I123" i="45"/>
  <c r="G127" i="44"/>
  <c r="D128" i="44"/>
  <c r="B128" i="44" s="1"/>
  <c r="E128" i="44"/>
  <c r="J126" i="44"/>
  <c r="J124" i="38"/>
  <c r="E124" i="41"/>
  <c r="F124" i="41" s="1"/>
  <c r="G124" i="41" s="1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 s="1"/>
  <c r="J132" i="10"/>
  <c r="G125" i="28"/>
  <c r="D126" i="28"/>
  <c r="E126" i="28" s="1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 s="1"/>
  <c r="G129" i="25"/>
  <c r="D130" i="25"/>
  <c r="E130" i="25" s="1"/>
  <c r="J127" i="23"/>
  <c r="G130" i="5"/>
  <c r="D131" i="5"/>
  <c r="E131" i="5" s="1"/>
  <c r="J122" i="47" l="1"/>
  <c r="H123" i="46"/>
  <c r="I123" i="46"/>
  <c r="J123" i="46" s="1"/>
  <c r="D124" i="47"/>
  <c r="E124" i="47" s="1"/>
  <c r="G123" i="47"/>
  <c r="B124" i="46"/>
  <c r="F124" i="46"/>
  <c r="D126" i="38"/>
  <c r="F124" i="45"/>
  <c r="J123" i="45"/>
  <c r="F128" i="44"/>
  <c r="G128" i="44" s="1"/>
  <c r="I127" i="44"/>
  <c r="H127" i="44"/>
  <c r="D125" i="41"/>
  <c r="B125" i="41" s="1"/>
  <c r="J123" i="41"/>
  <c r="J124" i="42"/>
  <c r="H124" i="41"/>
  <c r="I124" i="41"/>
  <c r="G125" i="42"/>
  <c r="D126" i="42"/>
  <c r="I125" i="38"/>
  <c r="H125" i="38"/>
  <c r="E126" i="38"/>
  <c r="B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H123" i="47" l="1"/>
  <c r="I123" i="47"/>
  <c r="E125" i="46"/>
  <c r="D125" i="46"/>
  <c r="G124" i="46"/>
  <c r="F124" i="47"/>
  <c r="B124" i="47"/>
  <c r="F126" i="38"/>
  <c r="D127" i="38" s="1"/>
  <c r="D129" i="44"/>
  <c r="B129" i="44" s="1"/>
  <c r="E125" i="45"/>
  <c r="G124" i="45"/>
  <c r="D125" i="45"/>
  <c r="E125" i="41"/>
  <c r="F125" i="41" s="1"/>
  <c r="D126" i="41" s="1"/>
  <c r="J124" i="41"/>
  <c r="J127" i="44"/>
  <c r="E129" i="44"/>
  <c r="H128" i="44"/>
  <c r="I128" i="44"/>
  <c r="E126" i="42"/>
  <c r="F126" i="42" s="1"/>
  <c r="B126" i="42"/>
  <c r="I125" i="42"/>
  <c r="H125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 s="1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 s="1"/>
  <c r="J125" i="28"/>
  <c r="J130" i="5"/>
  <c r="G131" i="5"/>
  <c r="D132" i="5"/>
  <c r="E132" i="5" s="1"/>
  <c r="J123" i="47" l="1"/>
  <c r="B125" i="46"/>
  <c r="F125" i="46"/>
  <c r="D125" i="47"/>
  <c r="E125" i="47" s="1"/>
  <c r="G124" i="47"/>
  <c r="I124" i="46"/>
  <c r="H124" i="46"/>
  <c r="G126" i="38"/>
  <c r="H126" i="38" s="1"/>
  <c r="F129" i="44"/>
  <c r="D130" i="44" s="1"/>
  <c r="H124" i="45"/>
  <c r="I124" i="45"/>
  <c r="B125" i="45"/>
  <c r="F125" i="45"/>
  <c r="G125" i="41"/>
  <c r="H125" i="41" s="1"/>
  <c r="J128" i="44"/>
  <c r="D127" i="42"/>
  <c r="B127" i="42" s="1"/>
  <c r="G126" i="42"/>
  <c r="E126" i="41"/>
  <c r="F126" i="41" s="1"/>
  <c r="B126" i="41"/>
  <c r="J125" i="42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H124" i="47" l="1"/>
  <c r="I124" i="47"/>
  <c r="B125" i="47"/>
  <c r="F125" i="47"/>
  <c r="J124" i="46"/>
  <c r="G125" i="46"/>
  <c r="D126" i="46"/>
  <c r="E126" i="46"/>
  <c r="I126" i="38"/>
  <c r="J126" i="38" s="1"/>
  <c r="J124" i="45"/>
  <c r="G129" i="44"/>
  <c r="I129" i="44" s="1"/>
  <c r="G125" i="45"/>
  <c r="D126" i="45"/>
  <c r="E126" i="45"/>
  <c r="I125" i="41"/>
  <c r="J125" i="41" s="1"/>
  <c r="E130" i="44"/>
  <c r="F130" i="44" s="1"/>
  <c r="B130" i="44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 s="1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J124" i="47" l="1"/>
  <c r="D126" i="47"/>
  <c r="E126" i="47" s="1"/>
  <c r="G125" i="47"/>
  <c r="B126" i="46"/>
  <c r="F126" i="46"/>
  <c r="I125" i="46"/>
  <c r="H125" i="46"/>
  <c r="H129" i="44"/>
  <c r="J129" i="44" s="1"/>
  <c r="I125" i="45"/>
  <c r="H125" i="45"/>
  <c r="F126" i="45"/>
  <c r="B126" i="45"/>
  <c r="G130" i="44"/>
  <c r="D131" i="44"/>
  <c r="B131" i="44" s="1"/>
  <c r="G127" i="42"/>
  <c r="I127" i="42" s="1"/>
  <c r="F128" i="38"/>
  <c r="G128" i="38" s="1"/>
  <c r="E128" i="42"/>
  <c r="F128" i="42" s="1"/>
  <c r="E127" i="41"/>
  <c r="F127" i="41" s="1"/>
  <c r="G127" i="41" s="1"/>
  <c r="I127" i="38"/>
  <c r="H127" i="38"/>
  <c r="J126" i="42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J125" i="46" l="1"/>
  <c r="I125" i="47"/>
  <c r="H125" i="47"/>
  <c r="G126" i="46"/>
  <c r="D127" i="46"/>
  <c r="E127" i="46"/>
  <c r="F126" i="47"/>
  <c r="B126" i="47"/>
  <c r="J125" i="45"/>
  <c r="D127" i="45"/>
  <c r="B127" i="45" s="1"/>
  <c r="G126" i="45"/>
  <c r="E127" i="45"/>
  <c r="E131" i="44"/>
  <c r="F131" i="44" s="1"/>
  <c r="H127" i="42"/>
  <c r="J127" i="42" s="1"/>
  <c r="D129" i="38"/>
  <c r="B129" i="38" s="1"/>
  <c r="I130" i="44"/>
  <c r="H130" i="44"/>
  <c r="D129" i="42"/>
  <c r="B129" i="42" s="1"/>
  <c r="G128" i="42"/>
  <c r="I128" i="42" s="1"/>
  <c r="D128" i="41"/>
  <c r="B128" i="41" s="1"/>
  <c r="E129" i="42"/>
  <c r="H127" i="41"/>
  <c r="I127" i="41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 s="1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 s="1"/>
  <c r="G131" i="23"/>
  <c r="D132" i="23"/>
  <c r="E132" i="23" s="1"/>
  <c r="G125" i="37"/>
  <c r="D126" i="37"/>
  <c r="E126" i="37" s="1"/>
  <c r="J126" i="30"/>
  <c r="G128" i="28"/>
  <c r="D129" i="28"/>
  <c r="E129" i="28" s="1"/>
  <c r="J129" i="24"/>
  <c r="J133" i="6"/>
  <c r="G132" i="25"/>
  <c r="D133" i="25"/>
  <c r="E133" i="25" s="1"/>
  <c r="G125" i="39"/>
  <c r="D126" i="39"/>
  <c r="E126" i="39" s="1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J125" i="47" l="1"/>
  <c r="I126" i="46"/>
  <c r="H126" i="46"/>
  <c r="G126" i="47"/>
  <c r="D127" i="47"/>
  <c r="E127" i="47" s="1"/>
  <c r="B127" i="46"/>
  <c r="F127" i="46"/>
  <c r="F127" i="45"/>
  <c r="D128" i="45" s="1"/>
  <c r="H126" i="45"/>
  <c r="I126" i="45"/>
  <c r="D132" i="44"/>
  <c r="B132" i="44" s="1"/>
  <c r="G131" i="44"/>
  <c r="I131" i="44" s="1"/>
  <c r="H128" i="42"/>
  <c r="J128" i="42" s="1"/>
  <c r="E129" i="38"/>
  <c r="F129" i="38" s="1"/>
  <c r="G129" i="38" s="1"/>
  <c r="E128" i="41"/>
  <c r="F128" i="41" s="1"/>
  <c r="G128" i="41" s="1"/>
  <c r="I128" i="41" s="1"/>
  <c r="F129" i="42"/>
  <c r="G129" i="42" s="1"/>
  <c r="J130" i="44"/>
  <c r="J155" i="44" s="1"/>
  <c r="E132" i="44"/>
  <c r="J128" i="38"/>
  <c r="J127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B127" i="47" l="1"/>
  <c r="F127" i="47"/>
  <c r="D128" i="46"/>
  <c r="G127" i="46"/>
  <c r="E128" i="46"/>
  <c r="I126" i="47"/>
  <c r="H126" i="47"/>
  <c r="J126" i="46"/>
  <c r="E128" i="45"/>
  <c r="F128" i="45" s="1"/>
  <c r="J126" i="45"/>
  <c r="G127" i="45"/>
  <c r="I127" i="45" s="1"/>
  <c r="H131" i="44"/>
  <c r="B128" i="45"/>
  <c r="F132" i="44"/>
  <c r="G132" i="44" s="1"/>
  <c r="D130" i="38"/>
  <c r="B130" i="38" s="1"/>
  <c r="D130" i="42"/>
  <c r="B130" i="42" s="1"/>
  <c r="D129" i="41"/>
  <c r="B129" i="41" s="1"/>
  <c r="H128" i="41"/>
  <c r="J128" i="41" s="1"/>
  <c r="E129" i="41"/>
  <c r="H129" i="38"/>
  <c r="I129" i="38"/>
  <c r="E130" i="42"/>
  <c r="I129" i="42"/>
  <c r="H129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 s="1"/>
  <c r="G137" i="7"/>
  <c r="D138" i="7"/>
  <c r="E138" i="7" s="1"/>
  <c r="G134" i="5"/>
  <c r="D135" i="5"/>
  <c r="E135" i="5" s="1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 s="1"/>
  <c r="J125" i="43"/>
  <c r="J128" i="29"/>
  <c r="I127" i="46" l="1"/>
  <c r="H127" i="46"/>
  <c r="B128" i="46"/>
  <c r="F128" i="46"/>
  <c r="J126" i="47"/>
  <c r="G127" i="47"/>
  <c r="D128" i="47"/>
  <c r="E128" i="47" s="1"/>
  <c r="H127" i="45"/>
  <c r="J127" i="45" s="1"/>
  <c r="D133" i="44"/>
  <c r="B133" i="44" s="1"/>
  <c r="F130" i="38"/>
  <c r="G130" i="38" s="1"/>
  <c r="E133" i="44"/>
  <c r="D129" i="45"/>
  <c r="E129" i="45"/>
  <c r="G128" i="45"/>
  <c r="F130" i="42"/>
  <c r="D131" i="42" s="1"/>
  <c r="B131" i="42" s="1"/>
  <c r="F129" i="41"/>
  <c r="D130" i="41" s="1"/>
  <c r="B130" i="41" s="1"/>
  <c r="J129" i="38"/>
  <c r="I132" i="44"/>
  <c r="H132" i="44"/>
  <c r="J129" i="42"/>
  <c r="D131" i="38"/>
  <c r="B131" i="38" s="1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D129" i="46" l="1"/>
  <c r="G128" i="46"/>
  <c r="E129" i="46"/>
  <c r="B128" i="47"/>
  <c r="F128" i="47"/>
  <c r="H127" i="47"/>
  <c r="I127" i="47"/>
  <c r="J127" i="46"/>
  <c r="F133" i="44"/>
  <c r="D134" i="44" s="1"/>
  <c r="B134" i="44" s="1"/>
  <c r="G130" i="42"/>
  <c r="H130" i="42" s="1"/>
  <c r="F129" i="45"/>
  <c r="B129" i="45"/>
  <c r="E131" i="42"/>
  <c r="F131" i="42" s="1"/>
  <c r="H128" i="45"/>
  <c r="I128" i="45"/>
  <c r="G129" i="41"/>
  <c r="E130" i="41"/>
  <c r="F130" i="41" s="1"/>
  <c r="D131" i="41" s="1"/>
  <c r="B131" i="41" s="1"/>
  <c r="E131" i="38"/>
  <c r="F131" i="38" s="1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 s="1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 s="1"/>
  <c r="G129" i="30"/>
  <c r="D130" i="30"/>
  <c r="E130" i="30" s="1"/>
  <c r="G135" i="5"/>
  <c r="D136" i="5"/>
  <c r="E136" i="5" s="1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J127" i="47" l="1"/>
  <c r="I128" i="46"/>
  <c r="H128" i="46"/>
  <c r="D129" i="47"/>
  <c r="E129" i="47" s="1"/>
  <c r="G128" i="47"/>
  <c r="B129" i="46"/>
  <c r="F129" i="46"/>
  <c r="G133" i="44"/>
  <c r="I133" i="44" s="1"/>
  <c r="I130" i="42"/>
  <c r="J130" i="42" s="1"/>
  <c r="J155" i="42" s="1"/>
  <c r="E134" i="44"/>
  <c r="F134" i="44" s="1"/>
  <c r="D135" i="44" s="1"/>
  <c r="B135" i="44" s="1"/>
  <c r="J128" i="45"/>
  <c r="E130" i="45"/>
  <c r="D130" i="45"/>
  <c r="B130" i="45" s="1"/>
  <c r="G129" i="45"/>
  <c r="E131" i="41"/>
  <c r="F131" i="41" s="1"/>
  <c r="D132" i="41" s="1"/>
  <c r="B132" i="41" s="1"/>
  <c r="G130" i="41"/>
  <c r="I130" i="41" s="1"/>
  <c r="I129" i="41"/>
  <c r="H129" i="41"/>
  <c r="D132" i="38"/>
  <c r="B132" i="38" s="1"/>
  <c r="G131" i="38"/>
  <c r="I131" i="38" s="1"/>
  <c r="J130" i="38"/>
  <c r="J155" i="38" s="1"/>
  <c r="G131" i="42"/>
  <c r="D132" i="42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H133" i="44" l="1"/>
  <c r="J128" i="46"/>
  <c r="G129" i="46"/>
  <c r="D130" i="46"/>
  <c r="E130" i="46"/>
  <c r="B129" i="47"/>
  <c r="F129" i="47"/>
  <c r="H128" i="47"/>
  <c r="I128" i="47"/>
  <c r="H130" i="41"/>
  <c r="J130" i="41" s="1"/>
  <c r="E135" i="44"/>
  <c r="F135" i="44" s="1"/>
  <c r="D136" i="44" s="1"/>
  <c r="B136" i="44" s="1"/>
  <c r="G134" i="44"/>
  <c r="H134" i="44" s="1"/>
  <c r="F130" i="45"/>
  <c r="I129" i="45"/>
  <c r="H129" i="45"/>
  <c r="J129" i="41"/>
  <c r="H131" i="38"/>
  <c r="E132" i="38"/>
  <c r="F132" i="38" s="1"/>
  <c r="D133" i="38" s="1"/>
  <c r="G131" i="41"/>
  <c r="H131" i="41" s="1"/>
  <c r="E132" i="41"/>
  <c r="F132" i="41" s="1"/>
  <c r="G132" i="41" s="1"/>
  <c r="E132" i="42"/>
  <c r="F132" i="42" s="1"/>
  <c r="B132" i="42"/>
  <c r="H131" i="42"/>
  <c r="I131" i="42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 s="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 s="1"/>
  <c r="J135" i="5"/>
  <c r="J135" i="4"/>
  <c r="G133" i="24"/>
  <c r="D134" i="24"/>
  <c r="E134" i="24" s="1"/>
  <c r="G131" i="29"/>
  <c r="D132" i="29"/>
  <c r="E132" i="29" s="1"/>
  <c r="G137" i="8"/>
  <c r="D138" i="8"/>
  <c r="E138" i="8" s="1"/>
  <c r="G139" i="10"/>
  <c r="D140" i="10"/>
  <c r="E140" i="10" s="1"/>
  <c r="G132" i="27"/>
  <c r="D133" i="27"/>
  <c r="E133" i="27" s="1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 s="1"/>
  <c r="G135" i="25"/>
  <c r="D136" i="25"/>
  <c r="E136" i="25"/>
  <c r="J135" i="3"/>
  <c r="J136" i="8"/>
  <c r="J131" i="27"/>
  <c r="G136" i="3"/>
  <c r="D137" i="3"/>
  <c r="E137" i="3" s="1"/>
  <c r="G135" i="44" l="1"/>
  <c r="H135" i="44" s="1"/>
  <c r="J128" i="47"/>
  <c r="E136" i="44"/>
  <c r="F136" i="44" s="1"/>
  <c r="D137" i="44" s="1"/>
  <c r="B130" i="46"/>
  <c r="F130" i="46"/>
  <c r="D130" i="47"/>
  <c r="E130" i="47" s="1"/>
  <c r="G129" i="47"/>
  <c r="I129" i="46"/>
  <c r="H129" i="46"/>
  <c r="I134" i="44"/>
  <c r="J129" i="45"/>
  <c r="J155" i="41"/>
  <c r="G130" i="45"/>
  <c r="E131" i="45"/>
  <c r="D131" i="45"/>
  <c r="I131" i="41"/>
  <c r="I135" i="44"/>
  <c r="G132" i="38"/>
  <c r="H132" i="38" s="1"/>
  <c r="G136" i="44"/>
  <c r="D133" i="41"/>
  <c r="B133" i="41" s="1"/>
  <c r="D133" i="42"/>
  <c r="G132" i="42"/>
  <c r="E133" i="38"/>
  <c r="F133" i="38" s="1"/>
  <c r="B133" i="38"/>
  <c r="I132" i="41"/>
  <c r="H132" i="41"/>
  <c r="E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F130" i="47" l="1"/>
  <c r="B130" i="47"/>
  <c r="J129" i="46"/>
  <c r="G130" i="46"/>
  <c r="E131" i="46"/>
  <c r="D131" i="46"/>
  <c r="H129" i="47"/>
  <c r="I129" i="47"/>
  <c r="I130" i="45"/>
  <c r="H130" i="45"/>
  <c r="F131" i="45"/>
  <c r="B131" i="45"/>
  <c r="I132" i="38"/>
  <c r="I136" i="44"/>
  <c r="H136" i="44"/>
  <c r="F133" i="41"/>
  <c r="G133" i="41" s="1"/>
  <c r="E137" i="44"/>
  <c r="F137" i="44" s="1"/>
  <c r="B137" i="44"/>
  <c r="D134" i="38"/>
  <c r="G133" i="38"/>
  <c r="I132" i="42"/>
  <c r="H132" i="42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 s="1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 s="1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J129" i="47" l="1"/>
  <c r="I130" i="46"/>
  <c r="H130" i="46"/>
  <c r="B131" i="46"/>
  <c r="F131" i="46"/>
  <c r="D131" i="47"/>
  <c r="E131" i="47" s="1"/>
  <c r="G130" i="47"/>
  <c r="E132" i="45"/>
  <c r="D132" i="45"/>
  <c r="G131" i="45"/>
  <c r="J130" i="45"/>
  <c r="J155" i="45" s="1"/>
  <c r="D134" i="41"/>
  <c r="B134" i="41" s="1"/>
  <c r="D138" i="44"/>
  <c r="B138" i="44" s="1"/>
  <c r="G137" i="44"/>
  <c r="G133" i="42"/>
  <c r="D134" i="42"/>
  <c r="I133" i="41"/>
  <c r="H133" i="41"/>
  <c r="I133" i="38"/>
  <c r="H133" i="38"/>
  <c r="E134" i="41"/>
  <c r="E134" i="38"/>
  <c r="F134" i="38" s="1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D132" i="46" l="1"/>
  <c r="G131" i="46"/>
  <c r="E132" i="46"/>
  <c r="I130" i="47"/>
  <c r="H130" i="47"/>
  <c r="F131" i="47"/>
  <c r="B131" i="47"/>
  <c r="J130" i="46"/>
  <c r="J155" i="46" s="1"/>
  <c r="F134" i="41"/>
  <c r="D135" i="41" s="1"/>
  <c r="I131" i="45"/>
  <c r="H131" i="45"/>
  <c r="B132" i="45"/>
  <c r="F132" i="45"/>
  <c r="E138" i="44"/>
  <c r="F138" i="44" s="1"/>
  <c r="I137" i="44"/>
  <c r="H137" i="44"/>
  <c r="G134" i="41"/>
  <c r="D135" i="38"/>
  <c r="G134" i="38"/>
  <c r="E134" i="42"/>
  <c r="F134" i="42" s="1"/>
  <c r="B134" i="42"/>
  <c r="I133" i="42"/>
  <c r="H133" i="42"/>
  <c r="J129" i="37"/>
  <c r="J138" i="6"/>
  <c r="J132" i="29"/>
  <c r="J129" i="43"/>
  <c r="G141" i="7"/>
  <c r="D142" i="7"/>
  <c r="E142" i="7" s="1"/>
  <c r="J132" i="31"/>
  <c r="G130" i="37"/>
  <c r="D131" i="37"/>
  <c r="E131" i="37" s="1"/>
  <c r="J138" i="8"/>
  <c r="J129" i="39"/>
  <c r="G135" i="24"/>
  <c r="D136" i="24"/>
  <c r="E136" i="24" s="1"/>
  <c r="J131" i="30"/>
  <c r="J137" i="5"/>
  <c r="G139" i="8"/>
  <c r="D140" i="8"/>
  <c r="E140" i="8" s="1"/>
  <c r="G130" i="39"/>
  <c r="D131" i="39"/>
  <c r="E131" i="39" s="1"/>
  <c r="J137" i="4"/>
  <c r="G140" i="11"/>
  <c r="D141" i="11"/>
  <c r="E141" i="11" s="1"/>
  <c r="G138" i="5"/>
  <c r="D139" i="5"/>
  <c r="E139" i="5" s="1"/>
  <c r="G137" i="22"/>
  <c r="D138" i="22"/>
  <c r="E138" i="22" s="1"/>
  <c r="J133" i="27"/>
  <c r="G134" i="27"/>
  <c r="D135" i="27"/>
  <c r="E135" i="27" s="1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 s="1"/>
  <c r="G138" i="3"/>
  <c r="D139" i="3"/>
  <c r="E139" i="3" s="1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 s="1"/>
  <c r="J130" i="47" l="1"/>
  <c r="J155" i="47" s="1"/>
  <c r="G131" i="47"/>
  <c r="D132" i="47"/>
  <c r="E132" i="47" s="1"/>
  <c r="I131" i="46"/>
  <c r="H131" i="46"/>
  <c r="B132" i="46"/>
  <c r="F132" i="46"/>
  <c r="D133" i="45"/>
  <c r="E133" i="45"/>
  <c r="G132" i="45"/>
  <c r="E139" i="44"/>
  <c r="D139" i="44"/>
  <c r="B139" i="44" s="1"/>
  <c r="G138" i="44"/>
  <c r="I138" i="44" s="1"/>
  <c r="I134" i="38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D133" i="46" l="1"/>
  <c r="G132" i="46"/>
  <c r="E133" i="46"/>
  <c r="B132" i="47"/>
  <c r="F132" i="47"/>
  <c r="H131" i="47"/>
  <c r="I131" i="47"/>
  <c r="I132" i="45"/>
  <c r="H132" i="45"/>
  <c r="F139" i="44"/>
  <c r="D140" i="44" s="1"/>
  <c r="B140" i="44" s="1"/>
  <c r="F133" i="45"/>
  <c r="B133" i="45"/>
  <c r="H138" i="44"/>
  <c r="D136" i="4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 s="1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 s="1"/>
  <c r="G140" i="6"/>
  <c r="D141" i="6"/>
  <c r="E141" i="6" s="1"/>
  <c r="G133" i="30"/>
  <c r="D134" i="30"/>
  <c r="E134" i="30" s="1"/>
  <c r="J138" i="4"/>
  <c r="J134" i="27"/>
  <c r="J141" i="7"/>
  <c r="G135" i="27"/>
  <c r="D136" i="27"/>
  <c r="E136" i="27" s="1"/>
  <c r="G139" i="3"/>
  <c r="D140" i="3"/>
  <c r="E140" i="3" s="1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/>
  <c r="G141" i="9"/>
  <c r="D142" i="9"/>
  <c r="E142" i="9" s="1"/>
  <c r="G134" i="29"/>
  <c r="D135" i="29"/>
  <c r="E135" i="29" s="1"/>
  <c r="J132" i="30"/>
  <c r="G142" i="10"/>
  <c r="D143" i="10"/>
  <c r="E143" i="10" s="1"/>
  <c r="G137" i="23"/>
  <c r="D138" i="23"/>
  <c r="E138" i="23" s="1"/>
  <c r="G131" i="43"/>
  <c r="D132" i="43"/>
  <c r="E132" i="43" s="1"/>
  <c r="G139" i="4"/>
  <c r="D140" i="4"/>
  <c r="E140" i="4" s="1"/>
  <c r="J129" i="40"/>
  <c r="J133" i="31"/>
  <c r="I132" i="46" l="1"/>
  <c r="H132" i="46"/>
  <c r="G132" i="47"/>
  <c r="D133" i="47"/>
  <c r="E133" i="47" s="1"/>
  <c r="F133" i="46"/>
  <c r="B133" i="46"/>
  <c r="G139" i="44"/>
  <c r="H139" i="44" s="1"/>
  <c r="E140" i="44"/>
  <c r="F140" i="44" s="1"/>
  <c r="E134" i="45"/>
  <c r="G133" i="45"/>
  <c r="D134" i="45"/>
  <c r="G135" i="42"/>
  <c r="D136" i="42"/>
  <c r="E136" i="38"/>
  <c r="F136" i="38" s="1"/>
  <c r="B136" i="38"/>
  <c r="I135" i="38"/>
  <c r="H135" i="38"/>
  <c r="I135" i="41"/>
  <c r="H135" i="41"/>
  <c r="E136" i="41"/>
  <c r="F136" i="41" s="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B133" i="47" l="1"/>
  <c r="F133" i="47"/>
  <c r="I139" i="44"/>
  <c r="I132" i="47"/>
  <c r="H132" i="47"/>
  <c r="G133" i="46"/>
  <c r="E134" i="46"/>
  <c r="D134" i="46"/>
  <c r="B134" i="45"/>
  <c r="F134" i="45"/>
  <c r="H133" i="45"/>
  <c r="I133" i="45"/>
  <c r="D141" i="44"/>
  <c r="G140" i="44"/>
  <c r="G136" i="38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 s="1"/>
  <c r="G141" i="8"/>
  <c r="D142" i="8"/>
  <c r="E142" i="8" s="1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 s="1"/>
  <c r="G140" i="5"/>
  <c r="D141" i="5"/>
  <c r="E141" i="5" s="1"/>
  <c r="G134" i="30"/>
  <c r="D135" i="30"/>
  <c r="E135" i="30" s="1"/>
  <c r="G137" i="24"/>
  <c r="D138" i="24"/>
  <c r="E138" i="24" s="1"/>
  <c r="B134" i="46" l="1"/>
  <c r="F134" i="46"/>
  <c r="H133" i="46"/>
  <c r="I133" i="46"/>
  <c r="G133" i="47"/>
  <c r="D134" i="47"/>
  <c r="E134" i="47" s="1"/>
  <c r="D135" i="45"/>
  <c r="B135" i="45" s="1"/>
  <c r="E135" i="45"/>
  <c r="G134" i="45"/>
  <c r="I140" i="44"/>
  <c r="H140" i="44"/>
  <c r="E141" i="44"/>
  <c r="F141" i="44" s="1"/>
  <c r="B141" i="44"/>
  <c r="E137" i="41"/>
  <c r="F137" i="41" s="1"/>
  <c r="D138" i="41" s="1"/>
  <c r="D137" i="42"/>
  <c r="G136" i="42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B134" i="47" l="1"/>
  <c r="F134" i="47"/>
  <c r="G134" i="46"/>
  <c r="D135" i="46"/>
  <c r="E135" i="46"/>
  <c r="H133" i="47"/>
  <c r="I133" i="47"/>
  <c r="H134" i="45"/>
  <c r="I134" i="45"/>
  <c r="F135" i="45"/>
  <c r="G137" i="41"/>
  <c r="I137" i="41" s="1"/>
  <c r="D142" i="44"/>
  <c r="G141" i="44"/>
  <c r="D138" i="38"/>
  <c r="G137" i="38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 s="1"/>
  <c r="D134" i="39"/>
  <c r="G133" i="39"/>
  <c r="E134" i="39"/>
  <c r="G142" i="8"/>
  <c r="D143" i="8"/>
  <c r="E143" i="8" s="1"/>
  <c r="D137" i="28"/>
  <c r="E137" i="28" s="1"/>
  <c r="G136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 s="1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 s="1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 s="1"/>
  <c r="J136" i="27"/>
  <c r="B135" i="46" l="1"/>
  <c r="F135" i="46"/>
  <c r="H134" i="46"/>
  <c r="I134" i="46"/>
  <c r="G134" i="47"/>
  <c r="D135" i="47"/>
  <c r="E135" i="47" s="1"/>
  <c r="H137" i="41"/>
  <c r="E136" i="45"/>
  <c r="G135" i="45"/>
  <c r="D136" i="45"/>
  <c r="B136" i="45" s="1"/>
  <c r="E142" i="44"/>
  <c r="F142" i="44" s="1"/>
  <c r="B142" i="44"/>
  <c r="I141" i="44"/>
  <c r="H141" i="44"/>
  <c r="G138" i="4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F135" i="47" l="1"/>
  <c r="B135" i="47"/>
  <c r="D136" i="46"/>
  <c r="B136" i="46" s="1"/>
  <c r="E136" i="46"/>
  <c r="G135" i="46"/>
  <c r="I134" i="47"/>
  <c r="H134" i="47"/>
  <c r="H135" i="45"/>
  <c r="I135" i="45"/>
  <c r="F136" i="45"/>
  <c r="D143" i="44"/>
  <c r="B143" i="44" s="1"/>
  <c r="G142" i="44"/>
  <c r="D139" i="38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 s="1"/>
  <c r="G134" i="37"/>
  <c r="D135" i="37"/>
  <c r="E135" i="37" s="1"/>
  <c r="G141" i="22"/>
  <c r="D142" i="22"/>
  <c r="E142" i="22" s="1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F136" i="46" l="1"/>
  <c r="G136" i="46" s="1"/>
  <c r="E137" i="46"/>
  <c r="D137" i="46"/>
  <c r="B137" i="46" s="1"/>
  <c r="H135" i="46"/>
  <c r="I135" i="46"/>
  <c r="G135" i="47"/>
  <c r="D136" i="47"/>
  <c r="E136" i="47" s="1"/>
  <c r="D137" i="45"/>
  <c r="G136" i="45"/>
  <c r="E137" i="45"/>
  <c r="E143" i="44"/>
  <c r="F143" i="44" s="1"/>
  <c r="I142" i="44"/>
  <c r="H142" i="44"/>
  <c r="I138" i="38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F137" i="46" l="1"/>
  <c r="B136" i="47"/>
  <c r="F136" i="47"/>
  <c r="H135" i="47"/>
  <c r="I135" i="47"/>
  <c r="G137" i="46"/>
  <c r="E138" i="46"/>
  <c r="D138" i="46"/>
  <c r="H136" i="46"/>
  <c r="I136" i="46"/>
  <c r="H136" i="45"/>
  <c r="I136" i="45"/>
  <c r="B137" i="45"/>
  <c r="F137" i="45"/>
  <c r="G143" i="44"/>
  <c r="D144" i="44"/>
  <c r="F139" i="42"/>
  <c r="G139" i="42" s="1"/>
  <c r="E140" i="41"/>
  <c r="F140" i="41" s="1"/>
  <c r="I139" i="41"/>
  <c r="H139" i="41"/>
  <c r="G139" i="38"/>
  <c r="D140" i="38"/>
  <c r="B140" i="38" s="1"/>
  <c r="H138" i="42"/>
  <c r="I138" i="42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 s="1"/>
  <c r="G138" i="28"/>
  <c r="D139" i="28"/>
  <c r="E139" i="28"/>
  <c r="J145" i="10"/>
  <c r="J142" i="3"/>
  <c r="G135" i="43"/>
  <c r="D136" i="43"/>
  <c r="E136" i="43"/>
  <c r="G138" i="29"/>
  <c r="D139" i="29"/>
  <c r="E139" i="29" s="1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 s="1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B138" i="46" l="1"/>
  <c r="F138" i="46"/>
  <c r="D137" i="47"/>
  <c r="E137" i="47" s="1"/>
  <c r="G136" i="47"/>
  <c r="I137" i="46"/>
  <c r="H137" i="46"/>
  <c r="D138" i="45"/>
  <c r="G137" i="45"/>
  <c r="E138" i="45"/>
  <c r="D140" i="42"/>
  <c r="B140" i="42" s="1"/>
  <c r="E144" i="44"/>
  <c r="F144" i="44" s="1"/>
  <c r="B144" i="44"/>
  <c r="I143" i="44"/>
  <c r="H143" i="44"/>
  <c r="E140" i="38"/>
  <c r="F140" i="38" s="1"/>
  <c r="D141" i="38" s="1"/>
  <c r="B141" i="38" s="1"/>
  <c r="G140" i="41"/>
  <c r="D141" i="41"/>
  <c r="H139" i="42"/>
  <c r="I139" i="42"/>
  <c r="H139" i="38"/>
  <c r="I139" i="38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I136" i="47" l="1"/>
  <c r="H136" i="47"/>
  <c r="F137" i="47"/>
  <c r="B137" i="47"/>
  <c r="E139" i="46"/>
  <c r="D139" i="46"/>
  <c r="G138" i="46"/>
  <c r="B138" i="45"/>
  <c r="F138" i="45"/>
  <c r="I137" i="45"/>
  <c r="H137" i="45"/>
  <c r="E140" i="42"/>
  <c r="F140" i="42" s="1"/>
  <c r="G144" i="44"/>
  <c r="D145" i="44"/>
  <c r="E141" i="38"/>
  <c r="F141" i="38" s="1"/>
  <c r="G141" i="38" s="1"/>
  <c r="G140" i="38"/>
  <c r="H140" i="38" s="1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 s="1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H138" i="46" l="1"/>
  <c r="I138" i="46"/>
  <c r="G137" i="47"/>
  <c r="D138" i="47"/>
  <c r="E138" i="47" s="1"/>
  <c r="B139" i="46"/>
  <c r="F139" i="46"/>
  <c r="G138" i="45"/>
  <c r="E139" i="45"/>
  <c r="D139" i="45"/>
  <c r="D141" i="42"/>
  <c r="B141" i="42" s="1"/>
  <c r="G140" i="42"/>
  <c r="I140" i="42" s="1"/>
  <c r="I140" i="38"/>
  <c r="E145" i="44"/>
  <c r="F145" i="44" s="1"/>
  <c r="B145" i="44"/>
  <c r="H144" i="44"/>
  <c r="I144" i="44"/>
  <c r="D142" i="38"/>
  <c r="B142" i="38" s="1"/>
  <c r="G141" i="41"/>
  <c r="D142" i="41"/>
  <c r="B142" i="41" s="1"/>
  <c r="I141" i="38"/>
  <c r="H141" i="38"/>
  <c r="H140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F138" i="47" l="1"/>
  <c r="B138" i="47"/>
  <c r="D140" i="46"/>
  <c r="B140" i="46" s="1"/>
  <c r="E140" i="46"/>
  <c r="F140" i="46" s="1"/>
  <c r="G139" i="46"/>
  <c r="I137" i="47"/>
  <c r="H137" i="47"/>
  <c r="B139" i="45"/>
  <c r="F139" i="45"/>
  <c r="E141" i="42"/>
  <c r="F141" i="42" s="1"/>
  <c r="D142" i="42" s="1"/>
  <c r="I138" i="45"/>
  <c r="H138" i="45"/>
  <c r="E142" i="38"/>
  <c r="F142" i="38" s="1"/>
  <c r="G142" i="38" s="1"/>
  <c r="D146" i="44"/>
  <c r="G145" i="44"/>
  <c r="E142" i="41"/>
  <c r="F142" i="41" s="1"/>
  <c r="G142" i="41" s="1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 s="1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 s="1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 s="1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 s="1"/>
  <c r="G146" i="6"/>
  <c r="D147" i="6"/>
  <c r="E147" i="6" s="1"/>
  <c r="G140" i="46" l="1"/>
  <c r="D141" i="46"/>
  <c r="B141" i="46" s="1"/>
  <c r="I139" i="46"/>
  <c r="H139" i="46"/>
  <c r="G138" i="47"/>
  <c r="D139" i="47"/>
  <c r="E139" i="47" s="1"/>
  <c r="G141" i="42"/>
  <c r="I141" i="42" s="1"/>
  <c r="G139" i="45"/>
  <c r="D140" i="45"/>
  <c r="D143" i="38"/>
  <c r="B143" i="38" s="1"/>
  <c r="I145" i="44"/>
  <c r="H145" i="44"/>
  <c r="E146" i="44"/>
  <c r="F146" i="44" s="1"/>
  <c r="B146" i="44"/>
  <c r="D143" i="41"/>
  <c r="B143" i="41" s="1"/>
  <c r="E142" i="42"/>
  <c r="F142" i="42" s="1"/>
  <c r="B142" i="42"/>
  <c r="H142" i="38"/>
  <c r="I142" i="38"/>
  <c r="H142" i="41"/>
  <c r="I142" i="41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E141" i="46" l="1"/>
  <c r="F141" i="46" s="1"/>
  <c r="D142" i="46" s="1"/>
  <c r="B142" i="46" s="1"/>
  <c r="F139" i="47"/>
  <c r="B139" i="47"/>
  <c r="I138" i="47"/>
  <c r="H138" i="47"/>
  <c r="I140" i="46"/>
  <c r="H140" i="46"/>
  <c r="H141" i="42"/>
  <c r="E140" i="45"/>
  <c r="F140" i="45" s="1"/>
  <c r="B140" i="45"/>
  <c r="I139" i="45"/>
  <c r="H139" i="45"/>
  <c r="E143" i="38"/>
  <c r="F143" i="38" s="1"/>
  <c r="G143" i="38" s="1"/>
  <c r="E143" i="41"/>
  <c r="F143" i="41" s="1"/>
  <c r="D144" i="41" s="1"/>
  <c r="D147" i="44"/>
  <c r="G146" i="44"/>
  <c r="G142" i="42"/>
  <c r="D143" i="42"/>
  <c r="B143" i="42" s="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 s="1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G141" i="46" l="1"/>
  <c r="E142" i="46"/>
  <c r="F142" i="46" s="1"/>
  <c r="I141" i="46"/>
  <c r="H141" i="46"/>
  <c r="G139" i="47"/>
  <c r="D140" i="47"/>
  <c r="E140" i="47" s="1"/>
  <c r="G140" i="45"/>
  <c r="D141" i="45"/>
  <c r="B141" i="45" s="1"/>
  <c r="D144" i="38"/>
  <c r="B144" i="38" s="1"/>
  <c r="G143" i="41"/>
  <c r="I143" i="41" s="1"/>
  <c r="I146" i="44"/>
  <c r="H146" i="44"/>
  <c r="E147" i="44"/>
  <c r="F147" i="44" s="1"/>
  <c r="B147" i="44"/>
  <c r="E143" i="42"/>
  <c r="F143" i="42" s="1"/>
  <c r="D144" i="42" s="1"/>
  <c r="H143" i="38"/>
  <c r="I143" i="38"/>
  <c r="E144" i="41"/>
  <c r="F144" i="41" s="1"/>
  <c r="B144" i="4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H139" i="47" l="1"/>
  <c r="I139" i="47"/>
  <c r="F140" i="47"/>
  <c r="B140" i="47"/>
  <c r="G142" i="46"/>
  <c r="D143" i="46"/>
  <c r="B143" i="46" s="1"/>
  <c r="H143" i="41"/>
  <c r="E141" i="45"/>
  <c r="F141" i="45" s="1"/>
  <c r="G141" i="45" s="1"/>
  <c r="E144" i="38"/>
  <c r="F144" i="38" s="1"/>
  <c r="D145" i="38" s="1"/>
  <c r="B145" i="38" s="1"/>
  <c r="H140" i="45"/>
  <c r="I140" i="45"/>
  <c r="D148" i="44"/>
  <c r="G147" i="44"/>
  <c r="G143" i="42"/>
  <c r="I143" i="42" s="1"/>
  <c r="J146" i="4"/>
  <c r="J141" i="29"/>
  <c r="J141" i="31"/>
  <c r="E144" i="42"/>
  <c r="F144" i="42" s="1"/>
  <c r="B144" i="42"/>
  <c r="D145" i="41"/>
  <c r="G144" i="41"/>
  <c r="J146" i="5"/>
  <c r="J146" i="3"/>
  <c r="J149" i="10"/>
  <c r="J149" i="7"/>
  <c r="D148" i="3"/>
  <c r="E148" i="3" s="1"/>
  <c r="G147" i="3"/>
  <c r="D150" i="11"/>
  <c r="G149" i="11"/>
  <c r="G141" i="30"/>
  <c r="D142" i="30"/>
  <c r="E142" i="30" s="1"/>
  <c r="G146" i="25"/>
  <c r="D147" i="25"/>
  <c r="E147" i="25" s="1"/>
  <c r="J140" i="30"/>
  <c r="G139" i="37"/>
  <c r="D140" i="37"/>
  <c r="E140" i="37" s="1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 s="1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E143" i="46" l="1"/>
  <c r="F143" i="46" s="1"/>
  <c r="D141" i="47"/>
  <c r="G140" i="47"/>
  <c r="I142" i="46"/>
  <c r="H142" i="46"/>
  <c r="D142" i="45"/>
  <c r="B142" i="45" s="1"/>
  <c r="G144" i="38"/>
  <c r="H144" i="38" s="1"/>
  <c r="E145" i="38"/>
  <c r="F145" i="38" s="1"/>
  <c r="D146" i="38" s="1"/>
  <c r="B146" i="38" s="1"/>
  <c r="H141" i="45"/>
  <c r="I141" i="45"/>
  <c r="H143" i="42"/>
  <c r="H147" i="44"/>
  <c r="I147" i="44"/>
  <c r="E148" i="44"/>
  <c r="F148" i="44" s="1"/>
  <c r="B148" i="44"/>
  <c r="G144" i="42"/>
  <c r="D145" i="42"/>
  <c r="B145" i="42" s="1"/>
  <c r="H144" i="41"/>
  <c r="I144" i="41"/>
  <c r="E145" i="41"/>
  <c r="F145" i="41" s="1"/>
  <c r="B145" i="41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I140" i="47" l="1"/>
  <c r="H140" i="47"/>
  <c r="E141" i="47"/>
  <c r="F141" i="47"/>
  <c r="B141" i="47"/>
  <c r="G143" i="46"/>
  <c r="D144" i="46"/>
  <c r="B144" i="46" s="1"/>
  <c r="I144" i="38"/>
  <c r="E142" i="45"/>
  <c r="F142" i="45" s="1"/>
  <c r="G142" i="45" s="1"/>
  <c r="G145" i="38"/>
  <c r="H145" i="38" s="1"/>
  <c r="E146" i="38"/>
  <c r="F146" i="38" s="1"/>
  <c r="D147" i="38" s="1"/>
  <c r="B147" i="38" s="1"/>
  <c r="D149" i="44"/>
  <c r="G148" i="44"/>
  <c r="E145" i="42"/>
  <c r="F145" i="42" s="1"/>
  <c r="G145" i="42" s="1"/>
  <c r="J147" i="3"/>
  <c r="G145" i="41"/>
  <c r="D146" i="41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 s="1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 s="1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E144" i="46" l="1"/>
  <c r="F144" i="46" s="1"/>
  <c r="D145" i="46"/>
  <c r="B145" i="46" s="1"/>
  <c r="G144" i="46"/>
  <c r="D142" i="47"/>
  <c r="G141" i="47"/>
  <c r="H143" i="46"/>
  <c r="I143" i="46"/>
  <c r="I145" i="38"/>
  <c r="D143" i="45"/>
  <c r="B143" i="45" s="1"/>
  <c r="G146" i="38"/>
  <c r="H146" i="38" s="1"/>
  <c r="E147" i="38"/>
  <c r="F147" i="38" s="1"/>
  <c r="D148" i="38" s="1"/>
  <c r="H142" i="45"/>
  <c r="I142" i="45"/>
  <c r="I148" i="44"/>
  <c r="H148" i="44"/>
  <c r="D146" i="42"/>
  <c r="E146" i="42" s="1"/>
  <c r="F146" i="42" s="1"/>
  <c r="E149" i="44"/>
  <c r="F149" i="44" s="1"/>
  <c r="B149" i="44"/>
  <c r="E146" i="41"/>
  <c r="F146" i="41" s="1"/>
  <c r="B146" i="41"/>
  <c r="H145" i="41"/>
  <c r="I145" i="41"/>
  <c r="I145" i="42"/>
  <c r="H145" i="42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E142" i="47" l="1"/>
  <c r="F142" i="47" s="1"/>
  <c r="B142" i="47"/>
  <c r="I144" i="46"/>
  <c r="H144" i="46"/>
  <c r="E145" i="46"/>
  <c r="F145" i="46" s="1"/>
  <c r="H141" i="47"/>
  <c r="I141" i="47"/>
  <c r="E143" i="45"/>
  <c r="F143" i="45" s="1"/>
  <c r="G147" i="38"/>
  <c r="I147" i="38" s="1"/>
  <c r="I146" i="38"/>
  <c r="D150" i="44"/>
  <c r="B150" i="44" s="1"/>
  <c r="G149" i="44"/>
  <c r="B146" i="42"/>
  <c r="D147" i="42"/>
  <c r="G146" i="42"/>
  <c r="D147" i="41"/>
  <c r="G146" i="41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 s="1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H147" i="38" l="1"/>
  <c r="D143" i="47"/>
  <c r="G142" i="47"/>
  <c r="D146" i="46"/>
  <c r="B146" i="46" s="1"/>
  <c r="G145" i="46"/>
  <c r="G143" i="45"/>
  <c r="D144" i="45"/>
  <c r="B144" i="45" s="1"/>
  <c r="E150" i="44"/>
  <c r="F150" i="44" s="1"/>
  <c r="G150" i="44" s="1"/>
  <c r="I149" i="44"/>
  <c r="H149" i="44"/>
  <c r="E147" i="41"/>
  <c r="F147" i="41" s="1"/>
  <c r="B147" i="41"/>
  <c r="D149" i="38"/>
  <c r="G148" i="38"/>
  <c r="I146" i="42"/>
  <c r="H146" i="42"/>
  <c r="H146" i="41"/>
  <c r="I146" i="41"/>
  <c r="E147" i="42"/>
  <c r="F147" i="42" s="1"/>
  <c r="B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B153" i="10"/>
  <c r="F153" i="10"/>
  <c r="I148" i="25"/>
  <c r="H148" i="25"/>
  <c r="E151" i="8"/>
  <c r="F151" i="8" s="1"/>
  <c r="B150" i="4"/>
  <c r="F150" i="4"/>
  <c r="I148" i="22"/>
  <c r="H148" i="22"/>
  <c r="I145" i="46" l="1"/>
  <c r="H145" i="46"/>
  <c r="H142" i="47"/>
  <c r="I142" i="47"/>
  <c r="E146" i="46"/>
  <c r="F146" i="46" s="1"/>
  <c r="E143" i="47"/>
  <c r="F143" i="47" s="1"/>
  <c r="B143" i="47"/>
  <c r="H143" i="45"/>
  <c r="I143" i="45"/>
  <c r="E144" i="45"/>
  <c r="F144" i="45" s="1"/>
  <c r="D151" i="44"/>
  <c r="E151" i="44" s="1"/>
  <c r="F151" i="44" s="1"/>
  <c r="H150" i="44"/>
  <c r="I150" i="44"/>
  <c r="J144" i="29"/>
  <c r="E149" i="38"/>
  <c r="F149" i="38" s="1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G143" i="47" l="1"/>
  <c r="D144" i="47"/>
  <c r="B144" i="47" s="1"/>
  <c r="G146" i="46"/>
  <c r="D147" i="46"/>
  <c r="B147" i="46" s="1"/>
  <c r="G144" i="45"/>
  <c r="D145" i="45"/>
  <c r="B145" i="45" s="1"/>
  <c r="B151" i="44"/>
  <c r="G151" i="44"/>
  <c r="D152" i="44"/>
  <c r="E148" i="41"/>
  <c r="F148" i="41" s="1"/>
  <c r="G148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E147" i="46" l="1"/>
  <c r="F147" i="46" s="1"/>
  <c r="H146" i="46"/>
  <c r="I146" i="46"/>
  <c r="E144" i="47"/>
  <c r="F144" i="47" s="1"/>
  <c r="G147" i="46"/>
  <c r="D148" i="46"/>
  <c r="B148" i="46" s="1"/>
  <c r="E145" i="45"/>
  <c r="F145" i="45" s="1"/>
  <c r="G145" i="45" s="1"/>
  <c r="H145" i="45" s="1"/>
  <c r="H143" i="47"/>
  <c r="I143" i="47"/>
  <c r="I144" i="45"/>
  <c r="H144" i="45"/>
  <c r="E152" i="44"/>
  <c r="F152" i="44" s="1"/>
  <c r="B152" i="44"/>
  <c r="H151" i="44"/>
  <c r="I151" i="44"/>
  <c r="D149" i="41"/>
  <c r="B149" i="41" s="1"/>
  <c r="H149" i="38"/>
  <c r="I149" i="38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 s="1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E148" i="46" l="1"/>
  <c r="F148" i="46" s="1"/>
  <c r="I145" i="45"/>
  <c r="I147" i="46"/>
  <c r="H147" i="46"/>
  <c r="G144" i="47"/>
  <c r="D145" i="47"/>
  <c r="D146" i="45"/>
  <c r="G148" i="46"/>
  <c r="D149" i="46"/>
  <c r="B149" i="46" s="1"/>
  <c r="G152" i="44"/>
  <c r="D153" i="44"/>
  <c r="E149" i="41"/>
  <c r="F149" i="41" s="1"/>
  <c r="G149" i="41" s="1"/>
  <c r="H149" i="41" s="1"/>
  <c r="D151" i="38"/>
  <c r="G150" i="38"/>
  <c r="E149" i="42"/>
  <c r="F149" i="42" s="1"/>
  <c r="B149" i="42"/>
  <c r="I148" i="42"/>
  <c r="H148" i="42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E149" i="46" l="1"/>
  <c r="F149" i="46" s="1"/>
  <c r="D150" i="46" s="1"/>
  <c r="G149" i="46"/>
  <c r="E145" i="47"/>
  <c r="F145" i="47" s="1"/>
  <c r="B145" i="47"/>
  <c r="H144" i="47"/>
  <c r="I144" i="47"/>
  <c r="H148" i="46"/>
  <c r="I148" i="46"/>
  <c r="B146" i="45"/>
  <c r="E146" i="45"/>
  <c r="F146" i="45" s="1"/>
  <c r="D150" i="41"/>
  <c r="B150" i="41" s="1"/>
  <c r="I149" i="41"/>
  <c r="E153" i="44"/>
  <c r="F153" i="44" s="1"/>
  <c r="B153" i="44"/>
  <c r="H152" i="44"/>
  <c r="I152" i="44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B150" i="46" l="1"/>
  <c r="E150" i="46"/>
  <c r="F150" i="46" s="1"/>
  <c r="G145" i="47"/>
  <c r="D146" i="47"/>
  <c r="D147" i="45"/>
  <c r="B147" i="45" s="1"/>
  <c r="G146" i="45"/>
  <c r="D151" i="46"/>
  <c r="B151" i="46" s="1"/>
  <c r="G150" i="46"/>
  <c r="H149" i="46"/>
  <c r="I149" i="46"/>
  <c r="D154" i="44"/>
  <c r="G153" i="44"/>
  <c r="E150" i="41"/>
  <c r="F150" i="41" s="1"/>
  <c r="E150" i="42"/>
  <c r="F150" i="42" s="1"/>
  <c r="D151" i="42" s="1"/>
  <c r="D152" i="38"/>
  <c r="G151" i="38"/>
  <c r="I149" i="42"/>
  <c r="H149" i="42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E151" i="46" l="1"/>
  <c r="F151" i="46" s="1"/>
  <c r="H146" i="45"/>
  <c r="I146" i="45"/>
  <c r="I150" i="46"/>
  <c r="H150" i="46"/>
  <c r="E146" i="47"/>
  <c r="F146" i="47" s="1"/>
  <c r="B146" i="47"/>
  <c r="E147" i="45"/>
  <c r="F147" i="45" s="1"/>
  <c r="H145" i="47"/>
  <c r="I145" i="47"/>
  <c r="G150" i="42"/>
  <c r="I150" i="42" s="1"/>
  <c r="D151" i="41"/>
  <c r="E151" i="41" s="1"/>
  <c r="G150" i="41"/>
  <c r="H153" i="44"/>
  <c r="I153" i="44"/>
  <c r="E154" i="44"/>
  <c r="E155" i="44" s="1"/>
  <c r="B154" i="44"/>
  <c r="E151" i="42"/>
  <c r="F151" i="42" s="1"/>
  <c r="B151" i="42"/>
  <c r="H151" i="38"/>
  <c r="I151" i="38"/>
  <c r="E152" i="38"/>
  <c r="F152" i="38" s="1"/>
  <c r="B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D147" i="47" l="1"/>
  <c r="G146" i="47"/>
  <c r="G147" i="45"/>
  <c r="D148" i="45"/>
  <c r="G151" i="46"/>
  <c r="D152" i="46"/>
  <c r="B152" i="46" s="1"/>
  <c r="H150" i="42"/>
  <c r="F154" i="44"/>
  <c r="G154" i="44" s="1"/>
  <c r="H154" i="44" s="1"/>
  <c r="H155" i="44" s="1"/>
  <c r="I150" i="41"/>
  <c r="H150" i="41"/>
  <c r="B151" i="41"/>
  <c r="F151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E152" i="46" l="1"/>
  <c r="F152" i="46" s="1"/>
  <c r="B148" i="45"/>
  <c r="E148" i="45"/>
  <c r="F148" i="45" s="1"/>
  <c r="G152" i="46"/>
  <c r="D153" i="46"/>
  <c r="B153" i="46" s="1"/>
  <c r="H147" i="45"/>
  <c r="I147" i="45"/>
  <c r="H146" i="47"/>
  <c r="I146" i="47"/>
  <c r="I151" i="46"/>
  <c r="H151" i="46"/>
  <c r="E147" i="47"/>
  <c r="F147" i="47" s="1"/>
  <c r="B147" i="47"/>
  <c r="I154" i="44"/>
  <c r="I155" i="44" s="1"/>
  <c r="D152" i="41"/>
  <c r="G151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D148" i="47" l="1"/>
  <c r="E148" i="47" s="1"/>
  <c r="G147" i="47"/>
  <c r="I152" i="46"/>
  <c r="H152" i="46"/>
  <c r="G148" i="45"/>
  <c r="D149" i="45"/>
  <c r="E153" i="46"/>
  <c r="F153" i="46" s="1"/>
  <c r="I151" i="41"/>
  <c r="H151" i="41"/>
  <c r="E152" i="41"/>
  <c r="F152" i="41" s="1"/>
  <c r="B152" i="41"/>
  <c r="D153" i="42"/>
  <c r="G152" i="42"/>
  <c r="G153" i="38"/>
  <c r="D154" i="38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G153" i="46" l="1"/>
  <c r="D154" i="46"/>
  <c r="B149" i="45"/>
  <c r="E149" i="45"/>
  <c r="F149" i="45" s="1"/>
  <c r="H148" i="45"/>
  <c r="I148" i="45"/>
  <c r="I147" i="47"/>
  <c r="H147" i="47"/>
  <c r="F148" i="47"/>
  <c r="B148" i="47"/>
  <c r="G152" i="41"/>
  <c r="D153" i="41"/>
  <c r="B153" i="41" s="1"/>
  <c r="E154" i="38"/>
  <c r="E155" i="38" s="1"/>
  <c r="B154" i="38"/>
  <c r="I153" i="38"/>
  <c r="H153" i="38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G149" i="45" l="1"/>
  <c r="D150" i="45"/>
  <c r="B150" i="45" s="1"/>
  <c r="E154" i="46"/>
  <c r="E155" i="46" s="1"/>
  <c r="B154" i="46"/>
  <c r="D149" i="47"/>
  <c r="G148" i="47"/>
  <c r="I153" i="46"/>
  <c r="H153" i="46"/>
  <c r="E153" i="41"/>
  <c r="F153" i="41" s="1"/>
  <c r="D154" i="41" s="1"/>
  <c r="E154" i="41" s="1"/>
  <c r="E155" i="41" s="1"/>
  <c r="F154" i="38"/>
  <c r="G154" i="38" s="1"/>
  <c r="H154" i="38" s="1"/>
  <c r="H155" i="38" s="1"/>
  <c r="H152" i="41"/>
  <c r="I152" i="41"/>
  <c r="D154" i="42"/>
  <c r="G153" i="42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E150" i="45" l="1"/>
  <c r="F150" i="45" s="1"/>
  <c r="G150" i="45" s="1"/>
  <c r="H148" i="47"/>
  <c r="I148" i="47"/>
  <c r="E149" i="47"/>
  <c r="F149" i="47" s="1"/>
  <c r="B149" i="47"/>
  <c r="F154" i="46"/>
  <c r="G154" i="46" s="1"/>
  <c r="H149" i="45"/>
  <c r="I149" i="45"/>
  <c r="H150" i="45"/>
  <c r="I150" i="45"/>
  <c r="I154" i="38"/>
  <c r="I155" i="38" s="1"/>
  <c r="G153" i="41"/>
  <c r="F154" i="41"/>
  <c r="G154" i="41" s="1"/>
  <c r="H154" i="41" s="1"/>
  <c r="B154" i="41"/>
  <c r="I153" i="42"/>
  <c r="H153" i="42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D151" i="45" l="1"/>
  <c r="B151" i="45" s="1"/>
  <c r="D150" i="47"/>
  <c r="G149" i="47"/>
  <c r="I154" i="46"/>
  <c r="I155" i="46" s="1"/>
  <c r="H154" i="46"/>
  <c r="H155" i="46" s="1"/>
  <c r="I154" i="41"/>
  <c r="H153" i="41"/>
  <c r="H155" i="41" s="1"/>
  <c r="I153" i="41"/>
  <c r="I155" i="41" s="1"/>
  <c r="F154" i="42"/>
  <c r="G154" i="42" s="1"/>
  <c r="I154" i="42" s="1"/>
  <c r="I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E151" i="45" l="1"/>
  <c r="F151" i="45" s="1"/>
  <c r="D152" i="45" s="1"/>
  <c r="I149" i="47"/>
  <c r="H149" i="47"/>
  <c r="E150" i="47"/>
  <c r="F150" i="47" s="1"/>
  <c r="B150" i="47"/>
  <c r="H154" i="42"/>
  <c r="H155" i="42" s="1"/>
  <c r="J151" i="29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G151" i="45" l="1"/>
  <c r="H151" i="45"/>
  <c r="I151" i="45"/>
  <c r="B152" i="45"/>
  <c r="E152" i="45"/>
  <c r="F152" i="45" s="1"/>
  <c r="D151" i="47"/>
  <c r="B151" i="47" s="1"/>
  <c r="G150" i="47"/>
  <c r="H149" i="43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E151" i="47" l="1"/>
  <c r="F151" i="47" s="1"/>
  <c r="D152" i="47" s="1"/>
  <c r="G152" i="45"/>
  <c r="D153" i="45"/>
  <c r="B153" i="45" s="1"/>
  <c r="I150" i="47"/>
  <c r="H150" i="47"/>
  <c r="J152" i="28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G151" i="47" l="1"/>
  <c r="H151" i="47" s="1"/>
  <c r="E153" i="45"/>
  <c r="F153" i="45" s="1"/>
  <c r="I152" i="45"/>
  <c r="H152" i="45"/>
  <c r="I151" i="47"/>
  <c r="E152" i="47"/>
  <c r="F152" i="47" s="1"/>
  <c r="B152" i="47"/>
  <c r="B153" i="30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G153" i="45" l="1"/>
  <c r="D154" i="45"/>
  <c r="D153" i="47"/>
  <c r="G152" i="47"/>
  <c r="J153" i="3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E154" i="45" l="1"/>
  <c r="E155" i="45" s="1"/>
  <c r="B154" i="45"/>
  <c r="F154" i="45"/>
  <c r="G154" i="45" s="1"/>
  <c r="H153" i="45"/>
  <c r="I153" i="45"/>
  <c r="H152" i="47"/>
  <c r="I152" i="47"/>
  <c r="E153" i="47"/>
  <c r="F153" i="47" s="1"/>
  <c r="B153" i="47"/>
  <c r="B152" i="39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I154" i="45" l="1"/>
  <c r="I155" i="45" s="1"/>
  <c r="H154" i="45"/>
  <c r="H155" i="45" s="1"/>
  <c r="D154" i="47"/>
  <c r="G153" i="47"/>
  <c r="G152" i="37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I153" i="47" l="1"/>
  <c r="H153" i="47"/>
  <c r="E154" i="47"/>
  <c r="E155" i="47" s="1"/>
  <c r="B154" i="47"/>
  <c r="B152" i="40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F154" i="47" l="1"/>
  <c r="G154" i="47" s="1"/>
  <c r="D153" i="40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4" i="47" l="1"/>
  <c r="H155" i="47" s="1"/>
  <c r="I154" i="47"/>
  <c r="I155" i="47" s="1"/>
  <c r="H153" i="37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I52" i="17" l="1"/>
  <c r="L45" i="17" l="1"/>
  <c r="V45" i="17" s="1"/>
  <c r="L36" i="17" l="1"/>
  <c r="V36" i="17" s="1"/>
  <c r="L31" i="17"/>
  <c r="V31" i="17" s="1"/>
  <c r="L37" i="17"/>
  <c r="V37" i="17" s="1"/>
  <c r="L26" i="17"/>
  <c r="V26" i="17" s="1"/>
  <c r="L33" i="17"/>
  <c r="V33" i="17" s="1"/>
  <c r="L22" i="17"/>
  <c r="V22" i="17" s="1"/>
  <c r="L24" i="17"/>
  <c r="V24" i="17" s="1"/>
  <c r="L25" i="17"/>
  <c r="V25" i="17" s="1"/>
  <c r="L43" i="17"/>
  <c r="V43" i="17" s="1"/>
  <c r="L41" i="17"/>
  <c r="V41" i="17" s="1"/>
  <c r="L34" i="17"/>
  <c r="V34" i="17" s="1"/>
  <c r="L32" i="17"/>
  <c r="V32" i="17" s="1"/>
  <c r="L20" i="17"/>
  <c r="V20" i="17" s="1"/>
  <c r="L19" i="17"/>
  <c r="V19" i="17" s="1"/>
  <c r="L21" i="17"/>
  <c r="V21" i="17" s="1"/>
  <c r="L29" i="17"/>
  <c r="V29" i="17" s="1"/>
  <c r="L28" i="17"/>
  <c r="V28" i="17" s="1"/>
  <c r="L23" i="17"/>
  <c r="V23" i="17" s="1"/>
  <c r="L44" i="17"/>
  <c r="V44" i="17" s="1"/>
  <c r="L40" i="17"/>
  <c r="V40" i="17" s="1"/>
  <c r="L38" i="17"/>
  <c r="V38" i="17" s="1"/>
  <c r="L30" i="17"/>
  <c r="V30" i="17" s="1"/>
  <c r="L27" i="17"/>
  <c r="V27" i="17" s="1"/>
  <c r="L35" i="17"/>
  <c r="V35" i="17" s="1"/>
  <c r="L42" i="17" l="1"/>
  <c r="V42" i="17" s="1"/>
  <c r="L39" i="17"/>
  <c r="V39" i="17" s="1"/>
  <c r="L18" i="17"/>
  <c r="K52" i="17" l="1"/>
  <c r="V18" i="17"/>
  <c r="V51" i="17" s="1"/>
  <c r="L51" i="17"/>
  <c r="Q20" i="17" l="1"/>
  <c r="Q21" i="17"/>
  <c r="R21" i="17" s="1"/>
  <c r="T21" i="17" s="1"/>
  <c r="Q45" i="17"/>
  <c r="R45" i="17" s="1"/>
  <c r="T45" i="17" s="1"/>
  <c r="Q19" i="17"/>
  <c r="R19" i="17" s="1"/>
  <c r="T19" i="17" s="1"/>
  <c r="Q18" i="17"/>
  <c r="Q47" i="17"/>
  <c r="R47" i="17" s="1"/>
  <c r="T47" i="17" s="1"/>
  <c r="Q46" i="17"/>
  <c r="R46" i="17" s="1"/>
  <c r="T46" i="17" s="1"/>
  <c r="Q48" i="17"/>
  <c r="R48" i="17" s="1"/>
  <c r="T48" i="17" s="1"/>
  <c r="Q38" i="17"/>
  <c r="R38" i="17" s="1"/>
  <c r="T38" i="17" s="1"/>
  <c r="Q26" i="17"/>
  <c r="R26" i="17" s="1"/>
  <c r="T26" i="17" s="1"/>
  <c r="Q29" i="17"/>
  <c r="R29" i="17" s="1"/>
  <c r="T29" i="17" s="1"/>
  <c r="Q33" i="17"/>
  <c r="R33" i="17" s="1"/>
  <c r="T33" i="17" s="1"/>
  <c r="Q31" i="17"/>
  <c r="R31" i="17" s="1"/>
  <c r="T31" i="17" s="1"/>
  <c r="Q37" i="17"/>
  <c r="R37" i="17" s="1"/>
  <c r="T37" i="17" s="1"/>
  <c r="Q34" i="17"/>
  <c r="R34" i="17" s="1"/>
  <c r="T34" i="17" s="1"/>
  <c r="Q36" i="17"/>
  <c r="R36" i="17" s="1"/>
  <c r="T36" i="17" s="1"/>
  <c r="Q44" i="17"/>
  <c r="R44" i="17" s="1"/>
  <c r="T44" i="17" s="1"/>
  <c r="Q41" i="17"/>
  <c r="R41" i="17" s="1"/>
  <c r="T41" i="17" s="1"/>
  <c r="Q30" i="17"/>
  <c r="R30" i="17" s="1"/>
  <c r="T30" i="17" s="1"/>
  <c r="Q28" i="17"/>
  <c r="R28" i="17" s="1"/>
  <c r="T28" i="17" s="1"/>
  <c r="R20" i="17"/>
  <c r="T20" i="17" s="1"/>
  <c r="Q27" i="17"/>
  <c r="R27" i="17" s="1"/>
  <c r="T27" i="17" s="1"/>
  <c r="Q35" i="17"/>
  <c r="R35" i="17" s="1"/>
  <c r="T35" i="17" s="1"/>
  <c r="Q43" i="17"/>
  <c r="R43" i="17" s="1"/>
  <c r="T43" i="17" s="1"/>
  <c r="Q32" i="17"/>
  <c r="R32" i="17" s="1"/>
  <c r="T32" i="17" s="1"/>
  <c r="Q25" i="17"/>
  <c r="R25" i="17" s="1"/>
  <c r="T25" i="17" s="1"/>
  <c r="Q40" i="17"/>
  <c r="R40" i="17" s="1"/>
  <c r="T40" i="17" s="1"/>
  <c r="Q24" i="17"/>
  <c r="R24" i="17" s="1"/>
  <c r="T24" i="17" s="1"/>
  <c r="Q22" i="17"/>
  <c r="R22" i="17" s="1"/>
  <c r="T22" i="17" s="1"/>
  <c r="Q23" i="17"/>
  <c r="R23" i="17" s="1"/>
  <c r="T23" i="17" s="1"/>
  <c r="Q42" i="17"/>
  <c r="R42" i="17" s="1"/>
  <c r="T42" i="17" s="1"/>
  <c r="Q39" i="17"/>
  <c r="R39" i="17" s="1"/>
  <c r="T39" i="17" s="1"/>
  <c r="R18" i="17" l="1"/>
  <c r="T18" i="17" s="1"/>
  <c r="T51" i="17" s="1"/>
  <c r="Q52" i="17"/>
  <c r="R5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  <author>AEP</author>
    <author>rlp</author>
    <author>S177040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51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51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</authors>
  <commentList>
    <comment ref="L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Williamson</author>
    <author>rlp</author>
  </authors>
  <commentList>
    <comment ref="O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G1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2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<sst xmlns="http://schemas.openxmlformats.org/spreadsheetml/2006/main" count="4096" uniqueCount="402">
  <si>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</si>
  <si>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</si>
  <si>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</si>
  <si>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</si>
  <si>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</si>
  <si>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</si>
  <si>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</si>
  <si>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</si>
  <si>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</si>
  <si>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</si>
  <si>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</si>
  <si>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</si>
  <si>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</si>
  <si>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</si>
  <si>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</si>
  <si>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</si>
  <si>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</si>
  <si>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</si>
  <si>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</si>
  <si>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</si>
  <si>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</si>
  <si>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</si>
  <si>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</si>
  <si>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</si>
  <si>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</si>
  <si>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</si>
  <si>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</si>
  <si>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</si>
  <si>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</si>
  <si>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</si>
  <si>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</si>
  <si>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</si>
  <si>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</si>
  <si>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</si>
  <si>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</si>
  <si>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</si>
  <si>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</si>
  <si>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</si>
  <si>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</si>
  <si>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</si>
  <si>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</si>
  <si>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</si>
  <si>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</si>
  <si>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</si>
  <si>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</si>
  <si>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</si>
  <si>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</si>
  <si>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</si>
  <si>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</si>
  <si>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</si>
  <si>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</si>
  <si>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</si>
  <si>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</si>
  <si>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</si>
  <si>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</si>
  <si>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</si>
  <si>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</si>
  <si>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</si>
  <si>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</si>
  <si>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</si>
  <si>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</si>
  <si>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</si>
  <si>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</si>
  <si>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</si>
  <si>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</si>
  <si>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</si>
  <si>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</si>
  <si>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</si>
  <si>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</si>
  <si>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</si>
  <si>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</si>
  <si>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</si>
  <si>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</si>
  <si>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</si>
  <si>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</si>
  <si>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</si>
  <si>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</si>
  <si>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</si>
  <si>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</si>
  <si>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</si>
  <si>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</si>
  <si>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</si>
  <si>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</si>
  <si>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</si>
  <si>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</si>
  <si>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</si>
  <si>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</si>
  <si>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</si>
  <si>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</si>
  <si>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</si>
  <si>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</si>
  <si>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</si>
  <si>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</si>
  <si>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</si>
  <si>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</si>
  <si>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</si>
  <si>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</si>
  <si>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</si>
  <si>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</si>
  <si>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</si>
  <si>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</si>
  <si>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</si>
  <si>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</si>
  <si>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</si>
  <si>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</si>
  <si>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</si>
  <si>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</si>
  <si>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</si>
  <si>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</si>
  <si>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</si>
  <si>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</si>
  <si>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</si>
  <si>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</si>
  <si>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</si>
  <si>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</si>
  <si>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</si>
  <si>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</si>
  <si>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</si>
  <si>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</si>
  <si>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</si>
  <si>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</si>
  <si>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</si>
  <si>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</si>
  <si>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</si>
  <si>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</si>
  <si>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</si>
  <si>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</si>
  <si>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</si>
  <si>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</si>
  <si>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</si>
  <si>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</si>
  <si>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</si>
  <si>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</si>
  <si>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</si>
  <si>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</si>
  <si>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</si>
  <si>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</si>
  <si>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</si>
  <si>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</si>
  <si>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</si>
  <si>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</si>
  <si>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</si>
  <si>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</si>
  <si>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</si>
  <si>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</si>
  <si>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</si>
  <si>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</si>
  <si>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</si>
  <si>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</si>
  <si>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</si>
  <si>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</si>
  <si>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</si>
  <si>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</si>
  <si>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</si>
  <si>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</si>
  <si>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</si>
  <si>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</si>
  <si>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</si>
  <si>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</si>
  <si>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</si>
  <si>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</si>
  <si>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</si>
  <si>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</si>
  <si>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</si>
  <si>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</si>
  <si>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</si>
  <si>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</si>
  <si>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</si>
  <si>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</si>
  <si>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</si>
  <si>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</si>
  <si>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</si>
  <si>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</si>
  <si>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</si>
  <si>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</si>
  <si>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</si>
  <si>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</si>
  <si>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</si>
  <si>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</si>
  <si>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</si>
  <si>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</si>
  <si>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</si>
  <si>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</si>
  <si>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</si>
  <si>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</si>
  <si>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</si>
  <si>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</si>
  <si>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</si>
  <si>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</si>
  <si>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</si>
  <si>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</si>
  <si>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</si>
  <si>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</si>
  <si>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</si>
  <si>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</si>
  <si>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</si>
  <si>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</si>
  <si>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</si>
  <si>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</si>
  <si>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</si>
  <si>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</si>
  <si>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</si>
  <si>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</si>
  <si>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</si>
  <si>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</si>
  <si>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</si>
  <si>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</si>
  <si>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</si>
  <si>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</si>
  <si>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</si>
  <si>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</si>
  <si>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</si>
  <si>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</si>
  <si>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</si>
  <si>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</si>
  <si>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</si>
  <si>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</si>
  <si>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</si>
  <si>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</si>
  <si>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</si>
  <si>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</si>
  <si>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</si>
  <si>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</si>
  <si>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</si>
  <si>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</si>
  <si>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</si>
  <si>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</si>
  <si>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</si>
  <si>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</si>
  <si>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</si>
  <si>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</si>
  <si>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</si>
  <si>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</si>
  <si>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</si>
  <si>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</si>
  <si>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</si>
  <si>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</si>
  <si>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</si>
  <si>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</si>
  <si>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</si>
  <si>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</si>
  <si>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</si>
  <si>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</si>
  <si>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</si>
  <si>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</si>
  <si>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</si>
  <si>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</si>
  <si>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</si>
  <si>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</si>
  <si>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</si>
  <si>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</si>
  <si>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</si>
  <si>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</si>
  <si>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</si>
  <si>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</si>
  <si>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</si>
  <si>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</si>
  <si>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</si>
  <si>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</si>
  <si>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</si>
  <si>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</si>
  <si>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</si>
  <si>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</si>
  <si>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</si>
  <si>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</si>
  <si>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</si>
  <si>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</si>
  <si>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</si>
  <si>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</si>
  <si>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</si>
  <si>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</si>
  <si>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</si>
  <si>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</si>
  <si>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</si>
  <si>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</si>
  <si>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</si>
  <si>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</si>
  <si>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</si>
  <si>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</si>
  <si>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</si>
  <si>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</si>
  <si>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</si>
  <si>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</si>
  <si>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</si>
  <si>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</si>
  <si>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</si>
  <si>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</si>
  <si>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</si>
  <si>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</si>
  <si>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</si>
  <si>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</si>
  <si>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</si>
  <si>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</si>
  <si>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</si>
  <si>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</si>
  <si>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</si>
  <si>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</si>
  <si>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</si>
  <si>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</si>
  <si>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</si>
  <si>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</si>
  <si>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</si>
  <si>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</si>
  <si>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</si>
  <si>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</si>
  <si>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</si>
  <si>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</si>
  <si>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</si>
  <si>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</si>
  <si>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</si>
  <si>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</si>
  <si>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</si>
  <si>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</si>
  <si>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</si>
  <si>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</si>
  <si>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</si>
  <si>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</si>
  <si>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</si>
  <si>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</si>
  <si>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</si>
  <si>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</si>
  <si>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</si>
  <si>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</si>
  <si>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</si>
  <si>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</si>
  <si>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</si>
  <si>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</si>
  <si>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</si>
  <si>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</si>
  <si>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</si>
  <si>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</si>
  <si>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</si>
  <si>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</si>
  <si>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</si>
  <si>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</si>
  <si>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</si>
  <si>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</si>
  <si>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 xml:space="preserve">  SPP Project ID = 41233</t>
  </si>
  <si>
    <t>P.028</t>
  </si>
  <si>
    <t>TP2015118</t>
  </si>
  <si>
    <t xml:space="preserve">  SPP Project ID = 30809</t>
  </si>
  <si>
    <t xml:space="preserve">  SPP Project ID = 41202</t>
  </si>
  <si>
    <t xml:space="preserve">  SPP Project ID = 31058</t>
  </si>
  <si>
    <t xml:space="preserve">  SPP Project ID = 30746</t>
  </si>
  <si>
    <t xml:space="preserve">  SPP Project ID = 446</t>
  </si>
  <si>
    <t xml:space="preserve">  SPP Project ID = 289</t>
  </si>
  <si>
    <t xml:space="preserve">  SPP Project ID = 46</t>
  </si>
  <si>
    <t xml:space="preserve">  SPP Project ID = 3</t>
  </si>
  <si>
    <t xml:space="preserve">  SPP Project ID = 118</t>
  </si>
  <si>
    <t xml:space="preserve">  SPP Project ID = 110</t>
  </si>
  <si>
    <t xml:space="preserve">  SPP Project ID = 30001</t>
  </si>
  <si>
    <t xml:space="preserve">  SPP Project ID = 106</t>
  </si>
  <si>
    <t xml:space="preserve">  SPP Project ID = 112</t>
  </si>
  <si>
    <t xml:space="preserve">  SPP Project ID = 230</t>
  </si>
  <si>
    <t xml:space="preserve">  SPP Project ID = 220</t>
  </si>
  <si>
    <t>Projected Year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</si>
  <si>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</si>
  <si>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</si>
  <si>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</si>
  <si>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</si>
  <si>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Tax Effect of Permanent and Flow Through Differences  (TCOS, ln 110)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</si>
  <si>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</si>
  <si>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</si>
  <si>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</si>
  <si>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</si>
  <si>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</si>
  <si>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</si>
  <si>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Annual Depreciation Expense  (TCOS, ln 86)</t>
  </si>
  <si>
    <t>Pryor Junction 138/115 kV</t>
  </si>
  <si>
    <t>TP2019132</t>
  </si>
  <si>
    <t xml:space="preserve">  SPP Project ID = 81571</t>
  </si>
  <si>
    <t>Tulsa SE - E 21st St Tap 138 kV</t>
  </si>
  <si>
    <t>TP2020033</t>
  </si>
  <si>
    <t xml:space="preserve">  SPP Project ID = 81523</t>
  </si>
  <si>
    <t>Tulsa SE - S Hudson 138 kV</t>
  </si>
  <si>
    <t>TP20033002</t>
  </si>
  <si>
    <t xml:space="preserve">  SPP Project ID = 81520</t>
  </si>
  <si>
    <t>P.029</t>
  </si>
  <si>
    <t>P.030</t>
  </si>
  <si>
    <t>P.031</t>
  </si>
  <si>
    <t>Transmission Plant Average Balance for 2022 (WS A-1 Ln 14 Col (d))</t>
  </si>
  <si>
    <t>Name check</t>
  </si>
  <si>
    <t>True-Up ARR CY 2021 From Worksheet G  (includes adjustment for SPP Collections)</t>
  </si>
  <si>
    <t>Riverside-Glenpool (TP2006087)</t>
  </si>
  <si>
    <t>Craig Jct-Broken Bow (TP2007059)</t>
  </si>
  <si>
    <t>WFEC new ties (TP2006054)</t>
  </si>
  <si>
    <t>Cache-Snyder (TP2004147)</t>
  </si>
  <si>
    <t>Catoosa 138 kV Device</t>
  </si>
  <si>
    <t>Pryor Jct 138/60 Upgrade autoxfmr  (TP2006090)</t>
  </si>
  <si>
    <t>Elk City-Elk City 69 CT upgrades (TP2007015)</t>
  </si>
  <si>
    <t>Weleetka &amp; Okmulgee wavetrap r&amp;r 81-805 (TP2005046)</t>
  </si>
  <si>
    <t>Tulsa SE r&amp;r switches (TP2004033)</t>
  </si>
  <si>
    <t>Clinton City-Foss 69 wavetrap r&amp;r (TP2009011)</t>
  </si>
  <si>
    <t>Bartlesville SE to Coffeyville T Rebuild (TP2008079-PSO)</t>
  </si>
  <si>
    <t>Canadian River - McAlester City 138 kV Line Conversion (TP2009095)</t>
  </si>
  <si>
    <t>CoffeyvilleT to Dearing 138 kv Rebuild - 1.1 mi (TP2008013)</t>
  </si>
  <si>
    <t>Ashdown West - Craig Junction 138KV Rebuild (TP2009092)</t>
  </si>
  <si>
    <t>Locust Grove to Lone Star 115 kV Rebuild 2.1 miles (TP2009093)</t>
  </si>
  <si>
    <t>Cornville Station Conversion (TP2011093)</t>
  </si>
  <si>
    <t>Elk City 138 kV Move Load</t>
  </si>
  <si>
    <t>Duncan-Comanche Tap 69 kV Rebuild and Duncan station upgrades</t>
  </si>
  <si>
    <t>Tulsa Southeast-E.61st 138 kV Rebuild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</si>
</sst>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  <numFmt numFmtId="181" formatCode="_(* #,##0.000_);_(* \(#,##0.000\);_(* &quot;-&quot;??_);_(@_)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5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170" fontId="122" fillId="0" borderId="0" xfId="117" applyNumberFormat="1" applyFont="1" applyFill="1" applyAlignment="1" applyProtection="1">
      <alignment vertical="center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37" fontId="1" fillId="0" borderId="0" xfId="117" applyNumberFormat="1" applyFont="1" applyFill="1" applyAlignment="1" applyProtection="1">
      <alignment vertical="center"/>
    </xf>
    <xf numFmtId="37" fontId="1" fillId="0" borderId="0" xfId="117" applyNumberForma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quotePrefix="1" applyFont="1" applyAlignment="1" applyProtection="1">
      <alignment horizontal="left" vertical="center"/>
    </xf>
    <xf numFmtId="181" fontId="76" fillId="0" borderId="0" xfId="117" applyNumberFormat="1" applyFont="1" applyAlignment="1" applyProtection="1">
      <alignment vertical="center"/>
    </xf>
    <xf numFmtId="0" fontId="0" fillId="61" borderId="0" xfId="0" applyFill="1" applyProtection="1"/>
    <xf numFmtId="0" fontId="65" fillId="61" borderId="0" xfId="0" quotePrefix="1" applyFont="1" applyFill="1" applyBorder="1" applyAlignment="1" applyProtection="1">
      <alignment horizontal="center" wrapText="1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00A" xfId="76" xr:uid="{00000000-0005-0000-0000-00004B000000}"/>
    <cellStyle name="C00B" xfId="77" xr:uid="{00000000-0005-0000-0000-00004C000000}"/>
    <cellStyle name="C00L" xfId="78" xr:uid="{00000000-0005-0000-0000-00004D000000}"/>
    <cellStyle name="C01A" xfId="79" xr:uid="{00000000-0005-0000-0000-00004E000000}"/>
    <cellStyle name="C01B" xfId="80" xr:uid="{00000000-0005-0000-0000-00004F000000}"/>
    <cellStyle name="C01B 2" xfId="81" xr:uid="{00000000-0005-0000-0000-000050000000}"/>
    <cellStyle name="C01H" xfId="82" xr:uid="{00000000-0005-0000-0000-000051000000}"/>
    <cellStyle name="C01L" xfId="83" xr:uid="{00000000-0005-0000-0000-000052000000}"/>
    <cellStyle name="C02A" xfId="84" xr:uid="{00000000-0005-0000-0000-000053000000}"/>
    <cellStyle name="C02B" xfId="85" xr:uid="{00000000-0005-0000-0000-000054000000}"/>
    <cellStyle name="C02B 2" xfId="86" xr:uid="{00000000-0005-0000-0000-000055000000}"/>
    <cellStyle name="C02H" xfId="87" xr:uid="{00000000-0005-0000-0000-000056000000}"/>
    <cellStyle name="C02L" xfId="88" xr:uid="{00000000-0005-0000-0000-000057000000}"/>
    <cellStyle name="C03A" xfId="89" xr:uid="{00000000-0005-0000-0000-000058000000}"/>
    <cellStyle name="C03B" xfId="90" xr:uid="{00000000-0005-0000-0000-000059000000}"/>
    <cellStyle name="C03H" xfId="91" xr:uid="{00000000-0005-0000-0000-00005A000000}"/>
    <cellStyle name="C03L" xfId="92" xr:uid="{00000000-0005-0000-0000-00005B000000}"/>
    <cellStyle name="C04A" xfId="93" xr:uid="{00000000-0005-0000-0000-00005C000000}"/>
    <cellStyle name="C04A 2" xfId="94" xr:uid="{00000000-0005-0000-0000-00005D000000}"/>
    <cellStyle name="C04B" xfId="95" xr:uid="{00000000-0005-0000-0000-00005E000000}"/>
    <cellStyle name="C04H" xfId="96" xr:uid="{00000000-0005-0000-0000-00005F000000}"/>
    <cellStyle name="C04L" xfId="97" xr:uid="{00000000-0005-0000-0000-000060000000}"/>
    <cellStyle name="C05A" xfId="98" xr:uid="{00000000-0005-0000-0000-000061000000}"/>
    <cellStyle name="C05B" xfId="99" xr:uid="{00000000-0005-0000-0000-000062000000}"/>
    <cellStyle name="C05H" xfId="100" xr:uid="{00000000-0005-0000-0000-000063000000}"/>
    <cellStyle name="C05L" xfId="101" xr:uid="{00000000-0005-0000-0000-000064000000}"/>
    <cellStyle name="C05L 2" xfId="102" xr:uid="{00000000-0005-0000-0000-000065000000}"/>
    <cellStyle name="C06A" xfId="103" xr:uid="{00000000-0005-0000-0000-000066000000}"/>
    <cellStyle name="C06B" xfId="104" xr:uid="{00000000-0005-0000-0000-000067000000}"/>
    <cellStyle name="C06H" xfId="105" xr:uid="{00000000-0005-0000-0000-000068000000}"/>
    <cellStyle name="C06L" xfId="106" xr:uid="{00000000-0005-0000-0000-000069000000}"/>
    <cellStyle name="C07A" xfId="107" xr:uid="{00000000-0005-0000-0000-00006A000000}"/>
    <cellStyle name="C07B" xfId="108" xr:uid="{00000000-0005-0000-0000-00006B000000}"/>
    <cellStyle name="C07H" xfId="109" xr:uid="{00000000-0005-0000-0000-00006C000000}"/>
    <cellStyle name="C07L" xfId="110" xr:uid="{00000000-0005-0000-0000-00006D000000}"/>
    <cellStyle name="Calculation" xfId="111" builtinId="22" customBuiltin="1"/>
    <cellStyle name="Calculation 2" xfId="112" xr:uid="{00000000-0005-0000-0000-00006F000000}"/>
    <cellStyle name="Calculation 2 2" xfId="113" xr:uid="{00000000-0005-0000-0000-000070000000}"/>
    <cellStyle name="Check Cell" xfId="114" builtinId="23" customBuiltin="1"/>
    <cellStyle name="Check Cell 2" xfId="115" xr:uid="{00000000-0005-0000-0000-000072000000}"/>
    <cellStyle name="Check Cell 2 2" xfId="116" xr:uid="{00000000-0005-0000-0000-000073000000}"/>
    <cellStyle name="Comma" xfId="117" builtinId="3"/>
    <cellStyle name="Comma [0] 2" xfId="118" xr:uid="{00000000-0005-0000-0000-000075000000}"/>
    <cellStyle name="Comma [0] 2 2" xfId="119" xr:uid="{00000000-0005-0000-0000-000076000000}"/>
    <cellStyle name="Comma 10" xfId="120" xr:uid="{00000000-0005-0000-0000-000077000000}"/>
    <cellStyle name="Comma 11" xfId="121" xr:uid="{00000000-0005-0000-0000-000078000000}"/>
    <cellStyle name="Comma 12" xfId="122" xr:uid="{00000000-0005-0000-0000-000079000000}"/>
    <cellStyle name="Comma 13" xfId="123" xr:uid="{00000000-0005-0000-0000-00007A000000}"/>
    <cellStyle name="Comma 14" xfId="124" xr:uid="{00000000-0005-0000-0000-00007B000000}"/>
    <cellStyle name="Comma 15" xfId="125" xr:uid="{00000000-0005-0000-0000-00007C000000}"/>
    <cellStyle name="Comma 16" xfId="126" xr:uid="{00000000-0005-0000-0000-00007D000000}"/>
    <cellStyle name="Comma 17" xfId="127" xr:uid="{00000000-0005-0000-0000-00007E000000}"/>
    <cellStyle name="Comma 18" xfId="128" xr:uid="{00000000-0005-0000-0000-00007F000000}"/>
    <cellStyle name="Comma 19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3" xfId="133" xr:uid="{00000000-0005-0000-0000-000084000000}"/>
    <cellStyle name="Comma 2 3 2" xfId="134" xr:uid="{00000000-0005-0000-0000-000085000000}"/>
    <cellStyle name="Comma 2 3 3" xfId="135" xr:uid="{00000000-0005-0000-0000-000086000000}"/>
    <cellStyle name="Comma 2 3 4" xfId="136" xr:uid="{00000000-0005-0000-0000-000087000000}"/>
    <cellStyle name="Comma 2 4" xfId="137" xr:uid="{00000000-0005-0000-0000-000088000000}"/>
    <cellStyle name="Comma 20" xfId="138" xr:uid="{00000000-0005-0000-0000-000089000000}"/>
    <cellStyle name="Comma 21" xfId="139" xr:uid="{00000000-0005-0000-0000-00008A000000}"/>
    <cellStyle name="Comma 22" xfId="140" xr:uid="{00000000-0005-0000-0000-00008B000000}"/>
    <cellStyle name="Comma 23" xfId="141" xr:uid="{00000000-0005-0000-0000-00008C000000}"/>
    <cellStyle name="Comma 24" xfId="142" xr:uid="{00000000-0005-0000-0000-00008D000000}"/>
    <cellStyle name="Comma 25" xfId="143" xr:uid="{00000000-0005-0000-0000-00008E000000}"/>
    <cellStyle name="Comma 25 2" xfId="144" xr:uid="{00000000-0005-0000-0000-00008F000000}"/>
    <cellStyle name="Comma 26" xfId="145" xr:uid="{00000000-0005-0000-0000-000090000000}"/>
    <cellStyle name="Comma 26 2" xfId="146" xr:uid="{00000000-0005-0000-0000-000091000000}"/>
    <cellStyle name="Comma 27" xfId="147" xr:uid="{00000000-0005-0000-0000-000092000000}"/>
    <cellStyle name="Comma 27 2" xfId="148" xr:uid="{00000000-0005-0000-0000-000093000000}"/>
    <cellStyle name="Comma 28" xfId="149" xr:uid="{00000000-0005-0000-0000-000094000000}"/>
    <cellStyle name="Comma 28 2" xfId="150" xr:uid="{00000000-0005-0000-0000-000095000000}"/>
    <cellStyle name="Comma 29" xfId="151" xr:uid="{00000000-0005-0000-0000-000096000000}"/>
    <cellStyle name="Comma 29 2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3 2" xfId="157" xr:uid="{00000000-0005-0000-0000-00009C000000}"/>
    <cellStyle name="Comma 3 3 2 2" xfId="158" xr:uid="{00000000-0005-0000-0000-00009D000000}"/>
    <cellStyle name="Comma 3 3 2 3" xfId="159" xr:uid="{00000000-0005-0000-0000-00009E000000}"/>
    <cellStyle name="Comma 3 3 3" xfId="160" xr:uid="{00000000-0005-0000-0000-00009F000000}"/>
    <cellStyle name="Comma 3 3 3 2" xfId="161" xr:uid="{00000000-0005-0000-0000-0000A0000000}"/>
    <cellStyle name="Comma 3 3 3 2 2" xfId="162" xr:uid="{00000000-0005-0000-0000-0000A1000000}"/>
    <cellStyle name="Comma 3 3 3 2 3" xfId="163" xr:uid="{00000000-0005-0000-0000-0000A2000000}"/>
    <cellStyle name="Comma 3 3 3 2 4" xfId="164" xr:uid="{00000000-0005-0000-0000-0000A3000000}"/>
    <cellStyle name="Comma 3 3 3 3" xfId="165" xr:uid="{00000000-0005-0000-0000-0000A4000000}"/>
    <cellStyle name="Comma 3 3 4" xfId="166" xr:uid="{00000000-0005-0000-0000-0000A5000000}"/>
    <cellStyle name="Comma 3 3 5" xfId="167" xr:uid="{00000000-0005-0000-0000-0000A6000000}"/>
    <cellStyle name="Comma 3 3 5 2" xfId="168" xr:uid="{00000000-0005-0000-0000-0000A7000000}"/>
    <cellStyle name="Comma 3 3 5 3" xfId="169" xr:uid="{00000000-0005-0000-0000-0000A8000000}"/>
    <cellStyle name="Comma 3 3 5 4" xfId="170" xr:uid="{00000000-0005-0000-0000-0000A9000000}"/>
    <cellStyle name="Comma 3 4" xfId="171" xr:uid="{00000000-0005-0000-0000-0000AA000000}"/>
    <cellStyle name="Comma 3 4 2" xfId="172" xr:uid="{00000000-0005-0000-0000-0000AB000000}"/>
    <cellStyle name="Comma 3 4 3" xfId="173" xr:uid="{00000000-0005-0000-0000-0000AC000000}"/>
    <cellStyle name="Comma 3 4 4" xfId="174" xr:uid="{00000000-0005-0000-0000-0000AD000000}"/>
    <cellStyle name="Comma 3 4 4 2" xfId="175" xr:uid="{00000000-0005-0000-0000-0000AE000000}"/>
    <cellStyle name="Comma 3 4 4 3" xfId="176" xr:uid="{00000000-0005-0000-0000-0000AF000000}"/>
    <cellStyle name="Comma 3 4 4 4" xfId="177" xr:uid="{00000000-0005-0000-0000-0000B0000000}"/>
    <cellStyle name="Comma 3 4 5" xfId="178" xr:uid="{00000000-0005-0000-0000-0000B1000000}"/>
    <cellStyle name="Comma 3 5" xfId="179" xr:uid="{00000000-0005-0000-0000-0000B2000000}"/>
    <cellStyle name="Comma 3 5 2" xfId="180" xr:uid="{00000000-0005-0000-0000-0000B3000000}"/>
    <cellStyle name="Comma 3 6" xfId="181" xr:uid="{00000000-0005-0000-0000-0000B4000000}"/>
    <cellStyle name="Comma 3 7" xfId="182" xr:uid="{00000000-0005-0000-0000-0000B5000000}"/>
    <cellStyle name="Comma 3 8" xfId="183" xr:uid="{00000000-0005-0000-0000-0000B6000000}"/>
    <cellStyle name="Comma 30" xfId="184" xr:uid="{00000000-0005-0000-0000-0000B7000000}"/>
    <cellStyle name="Comma 31" xfId="185" xr:uid="{00000000-0005-0000-0000-0000B8000000}"/>
    <cellStyle name="Comma 32" xfId="186" xr:uid="{00000000-0005-0000-0000-0000B9000000}"/>
    <cellStyle name="Comma 33" xfId="187" xr:uid="{00000000-0005-0000-0000-0000BA000000}"/>
    <cellStyle name="Comma 34" xfId="188" xr:uid="{00000000-0005-0000-0000-0000BB000000}"/>
    <cellStyle name="Comma 35" xfId="189" xr:uid="{00000000-0005-0000-0000-0000BC000000}"/>
    <cellStyle name="Comma 36" xfId="190" xr:uid="{00000000-0005-0000-0000-0000BD000000}"/>
    <cellStyle name="Comma 37" xfId="191" xr:uid="{00000000-0005-0000-0000-0000BE000000}"/>
    <cellStyle name="Comma 38" xfId="192" xr:uid="{00000000-0005-0000-0000-0000BF000000}"/>
    <cellStyle name="Comma 39" xfId="193" xr:uid="{00000000-0005-0000-0000-0000C0000000}"/>
    <cellStyle name="Comma 4" xfId="194" xr:uid="{00000000-0005-0000-0000-0000C1000000}"/>
    <cellStyle name="Comma 4 2" xfId="195" xr:uid="{00000000-0005-0000-0000-0000C2000000}"/>
    <cellStyle name="Comma 4 2 2" xfId="196" xr:uid="{00000000-0005-0000-0000-0000C3000000}"/>
    <cellStyle name="Comma 4 2 2 2" xfId="197" xr:uid="{00000000-0005-0000-0000-0000C4000000}"/>
    <cellStyle name="Comma 4 2 2 3" xfId="198" xr:uid="{00000000-0005-0000-0000-0000C5000000}"/>
    <cellStyle name="Comma 4 2 2 4" xfId="199" xr:uid="{00000000-0005-0000-0000-0000C6000000}"/>
    <cellStyle name="Comma 4 2 3" xfId="200" xr:uid="{00000000-0005-0000-0000-0000C7000000}"/>
    <cellStyle name="Comma 4 2 3 2" xfId="201" xr:uid="{00000000-0005-0000-0000-0000C8000000}"/>
    <cellStyle name="Comma 4 2 3 2 2" xfId="202" xr:uid="{00000000-0005-0000-0000-0000C9000000}"/>
    <cellStyle name="Comma 4 2 3 3" xfId="203" xr:uid="{00000000-0005-0000-0000-0000CA000000}"/>
    <cellStyle name="Comma 4 2 3 3 2" xfId="204" xr:uid="{00000000-0005-0000-0000-0000CB000000}"/>
    <cellStyle name="Comma 4 2 3 4" xfId="205" xr:uid="{00000000-0005-0000-0000-0000CC000000}"/>
    <cellStyle name="Comma 4 2 4" xfId="206" xr:uid="{00000000-0005-0000-0000-0000CD000000}"/>
    <cellStyle name="Comma 4 2 4 2" xfId="207" xr:uid="{00000000-0005-0000-0000-0000CE000000}"/>
    <cellStyle name="Comma 4 2 4 3" xfId="208" xr:uid="{00000000-0005-0000-0000-0000CF000000}"/>
    <cellStyle name="Comma 4 2 4 4" xfId="209" xr:uid="{00000000-0005-0000-0000-0000D0000000}"/>
    <cellStyle name="Comma 4 2 5" xfId="210" xr:uid="{00000000-0005-0000-0000-0000D1000000}"/>
    <cellStyle name="Comma 4 3" xfId="211" xr:uid="{00000000-0005-0000-0000-0000D2000000}"/>
    <cellStyle name="Comma 4 3 2" xfId="212" xr:uid="{00000000-0005-0000-0000-0000D3000000}"/>
    <cellStyle name="Comma 4 3 2 2" xfId="213" xr:uid="{00000000-0005-0000-0000-0000D4000000}"/>
    <cellStyle name="Comma 4 3 2 2 2" xfId="214" xr:uid="{00000000-0005-0000-0000-0000D5000000}"/>
    <cellStyle name="Comma 4 3 2 3" xfId="215" xr:uid="{00000000-0005-0000-0000-0000D6000000}"/>
    <cellStyle name="Comma 4 3 2 3 2" xfId="216" xr:uid="{00000000-0005-0000-0000-0000D7000000}"/>
    <cellStyle name="Comma 4 3 2 4" xfId="217" xr:uid="{00000000-0005-0000-0000-0000D8000000}"/>
    <cellStyle name="Comma 4 3 3" xfId="218" xr:uid="{00000000-0005-0000-0000-0000D9000000}"/>
    <cellStyle name="Comma 4 3 4" xfId="219" xr:uid="{00000000-0005-0000-0000-0000DA000000}"/>
    <cellStyle name="Comma 4 3 4 2" xfId="220" xr:uid="{00000000-0005-0000-0000-0000DB000000}"/>
    <cellStyle name="Comma 4 3 4 3" xfId="221" xr:uid="{00000000-0005-0000-0000-0000DC000000}"/>
    <cellStyle name="Comma 4 3 5" xfId="222" xr:uid="{00000000-0005-0000-0000-0000DD000000}"/>
    <cellStyle name="Comma 4 3 5 2" xfId="223" xr:uid="{00000000-0005-0000-0000-0000DE000000}"/>
    <cellStyle name="Comma 4 3 6" xfId="224" xr:uid="{00000000-0005-0000-0000-0000DF000000}"/>
    <cellStyle name="Comma 4 3 6 2" xfId="225" xr:uid="{00000000-0005-0000-0000-0000E0000000}"/>
    <cellStyle name="Comma 4 4" xfId="226" xr:uid="{00000000-0005-0000-0000-0000E1000000}"/>
    <cellStyle name="Comma 4 4 2" xfId="227" xr:uid="{00000000-0005-0000-0000-0000E2000000}"/>
    <cellStyle name="Comma 4 4 3" xfId="228" xr:uid="{00000000-0005-0000-0000-0000E3000000}"/>
    <cellStyle name="Comma 4 4 4" xfId="229" xr:uid="{00000000-0005-0000-0000-0000E4000000}"/>
    <cellStyle name="Comma 4 5" xfId="230" xr:uid="{00000000-0005-0000-0000-0000E5000000}"/>
    <cellStyle name="Comma 4 5 2" xfId="231" xr:uid="{00000000-0005-0000-0000-0000E6000000}"/>
    <cellStyle name="Comma 4 6" xfId="232" xr:uid="{00000000-0005-0000-0000-0000E7000000}"/>
    <cellStyle name="Comma 40" xfId="233" xr:uid="{00000000-0005-0000-0000-0000E8000000}"/>
    <cellStyle name="Comma 41" xfId="234" xr:uid="{00000000-0005-0000-0000-0000E9000000}"/>
    <cellStyle name="Comma 42" xfId="235" xr:uid="{00000000-0005-0000-0000-0000EA000000}"/>
    <cellStyle name="Comma 43" xfId="236" xr:uid="{00000000-0005-0000-0000-0000EB000000}"/>
    <cellStyle name="Comma 44" xfId="237" xr:uid="{00000000-0005-0000-0000-0000EC000000}"/>
    <cellStyle name="Comma 45" xfId="238" xr:uid="{00000000-0005-0000-0000-0000ED000000}"/>
    <cellStyle name="Comma 46" xfId="239" xr:uid="{00000000-0005-0000-0000-0000EE000000}"/>
    <cellStyle name="Comma 47" xfId="240" xr:uid="{00000000-0005-0000-0000-0000EF000000}"/>
    <cellStyle name="Comma 48" xfId="241" xr:uid="{00000000-0005-0000-0000-0000F0000000}"/>
    <cellStyle name="Comma 49" xfId="242" xr:uid="{00000000-0005-0000-0000-0000F1000000}"/>
    <cellStyle name="Comma 5" xfId="243" xr:uid="{00000000-0005-0000-0000-0000F2000000}"/>
    <cellStyle name="Comma 5 2" xfId="244" xr:uid="{00000000-0005-0000-0000-0000F3000000}"/>
    <cellStyle name="Comma 5 2 2" xfId="245" xr:uid="{00000000-0005-0000-0000-0000F4000000}"/>
    <cellStyle name="Comma 5 2 3" xfId="246" xr:uid="{00000000-0005-0000-0000-0000F5000000}"/>
    <cellStyle name="Comma 5 3" xfId="247" xr:uid="{00000000-0005-0000-0000-0000F6000000}"/>
    <cellStyle name="Comma 50" xfId="248" xr:uid="{00000000-0005-0000-0000-0000F7000000}"/>
    <cellStyle name="Comma 51" xfId="249" xr:uid="{00000000-0005-0000-0000-0000F8000000}"/>
    <cellStyle name="Comma 52" xfId="250" xr:uid="{00000000-0005-0000-0000-0000F9000000}"/>
    <cellStyle name="Comma 52 2" xfId="251" xr:uid="{00000000-0005-0000-0000-0000FA000000}"/>
    <cellStyle name="Comma 53" xfId="252" xr:uid="{00000000-0005-0000-0000-0000FB000000}"/>
    <cellStyle name="Comma 54" xfId="253" xr:uid="{00000000-0005-0000-0000-0000FC000000}"/>
    <cellStyle name="Comma 55" xfId="254" xr:uid="{00000000-0005-0000-0000-0000FD000000}"/>
    <cellStyle name="Comma 56" xfId="255" xr:uid="{00000000-0005-0000-0000-0000FE000000}"/>
    <cellStyle name="Comma 57" xfId="256" xr:uid="{00000000-0005-0000-0000-0000FF000000}"/>
    <cellStyle name="Comma 57 2" xfId="257" xr:uid="{00000000-0005-0000-0000-000000010000}"/>
    <cellStyle name="Comma 57 3" xfId="258" xr:uid="{00000000-0005-0000-0000-000001010000}"/>
    <cellStyle name="Comma 57 4" xfId="259" xr:uid="{00000000-0005-0000-0000-000002010000}"/>
    <cellStyle name="Comma 58" xfId="260" xr:uid="{00000000-0005-0000-0000-000003010000}"/>
    <cellStyle name="Comma 58 2" xfId="261" xr:uid="{00000000-0005-0000-0000-000004010000}"/>
    <cellStyle name="Comma 58 3" xfId="262" xr:uid="{00000000-0005-0000-0000-000005010000}"/>
    <cellStyle name="Comma 58 4" xfId="263" xr:uid="{00000000-0005-0000-0000-000006010000}"/>
    <cellStyle name="Comma 59" xfId="264" xr:uid="{00000000-0005-0000-0000-000007010000}"/>
    <cellStyle name="Comma 59 2" xfId="265" xr:uid="{00000000-0005-0000-0000-000008010000}"/>
    <cellStyle name="Comma 59 3" xfId="266" xr:uid="{00000000-0005-0000-0000-000009010000}"/>
    <cellStyle name="Comma 59 4" xfId="267" xr:uid="{00000000-0005-0000-0000-00000A010000}"/>
    <cellStyle name="Comma 6" xfId="268" xr:uid="{00000000-0005-0000-0000-00000B010000}"/>
    <cellStyle name="Comma 6 2" xfId="269" xr:uid="{00000000-0005-0000-0000-00000C010000}"/>
    <cellStyle name="Comma 6 3" xfId="270" xr:uid="{00000000-0005-0000-0000-00000D010000}"/>
    <cellStyle name="Comma 6 4" xfId="271" xr:uid="{00000000-0005-0000-0000-00000E010000}"/>
    <cellStyle name="Comma 6 4 2" xfId="272" xr:uid="{00000000-0005-0000-0000-00000F010000}"/>
    <cellStyle name="Comma 6 4 3" xfId="273" xr:uid="{00000000-0005-0000-0000-000010010000}"/>
    <cellStyle name="Comma 6 4 4" xfId="274" xr:uid="{00000000-0005-0000-0000-000011010000}"/>
    <cellStyle name="Comma 6 5" xfId="275" xr:uid="{00000000-0005-0000-0000-000012010000}"/>
    <cellStyle name="Comma 60" xfId="276" xr:uid="{00000000-0005-0000-0000-000013010000}"/>
    <cellStyle name="Comma 60 2" xfId="277" xr:uid="{00000000-0005-0000-0000-000014010000}"/>
    <cellStyle name="Comma 60 3" xfId="278" xr:uid="{00000000-0005-0000-0000-000015010000}"/>
    <cellStyle name="Comma 60 4" xfId="279" xr:uid="{00000000-0005-0000-0000-000016010000}"/>
    <cellStyle name="Comma 61" xfId="280" xr:uid="{00000000-0005-0000-0000-000017010000}"/>
    <cellStyle name="Comma 61 2" xfId="281" xr:uid="{00000000-0005-0000-0000-000018010000}"/>
    <cellStyle name="Comma 61 3" xfId="282" xr:uid="{00000000-0005-0000-0000-000019010000}"/>
    <cellStyle name="Comma 61 4" xfId="283" xr:uid="{00000000-0005-0000-0000-00001A010000}"/>
    <cellStyle name="Comma 62" xfId="284" xr:uid="{00000000-0005-0000-0000-00001B010000}"/>
    <cellStyle name="Comma 62 2" xfId="285" xr:uid="{00000000-0005-0000-0000-00001C010000}"/>
    <cellStyle name="Comma 62 3" xfId="286" xr:uid="{00000000-0005-0000-0000-00001D010000}"/>
    <cellStyle name="Comma 63" xfId="287" xr:uid="{00000000-0005-0000-0000-00001E010000}"/>
    <cellStyle name="Comma 63 2" xfId="288" xr:uid="{00000000-0005-0000-0000-00001F010000}"/>
    <cellStyle name="Comma 63 3" xfId="289" xr:uid="{00000000-0005-0000-0000-000020010000}"/>
    <cellStyle name="Comma 64" xfId="290" xr:uid="{00000000-0005-0000-0000-000021010000}"/>
    <cellStyle name="Comma 64 2" xfId="291" xr:uid="{00000000-0005-0000-0000-000022010000}"/>
    <cellStyle name="Comma 64 3" xfId="292" xr:uid="{00000000-0005-0000-0000-000023010000}"/>
    <cellStyle name="Comma 65" xfId="293" xr:uid="{00000000-0005-0000-0000-000024010000}"/>
    <cellStyle name="Comma 65 2" xfId="294" xr:uid="{00000000-0005-0000-0000-000025010000}"/>
    <cellStyle name="Comma 65 3" xfId="295" xr:uid="{00000000-0005-0000-0000-000026010000}"/>
    <cellStyle name="Comma 66" xfId="296" xr:uid="{00000000-0005-0000-0000-000027010000}"/>
    <cellStyle name="Comma 66 2" xfId="297" xr:uid="{00000000-0005-0000-0000-000028010000}"/>
    <cellStyle name="Comma 66 3" xfId="298" xr:uid="{00000000-0005-0000-0000-000029010000}"/>
    <cellStyle name="Comma 67" xfId="299" xr:uid="{00000000-0005-0000-0000-00002A010000}"/>
    <cellStyle name="Comma 67 2" xfId="300" xr:uid="{00000000-0005-0000-0000-00002B010000}"/>
    <cellStyle name="Comma 67 3" xfId="301" xr:uid="{00000000-0005-0000-0000-00002C010000}"/>
    <cellStyle name="Comma 68" xfId="302" xr:uid="{00000000-0005-0000-0000-00002D010000}"/>
    <cellStyle name="Comma 68 2" xfId="303" xr:uid="{00000000-0005-0000-0000-00002E010000}"/>
    <cellStyle name="Comma 68 3" xfId="304" xr:uid="{00000000-0005-0000-0000-00002F010000}"/>
    <cellStyle name="Comma 69" xfId="305" xr:uid="{00000000-0005-0000-0000-000030010000}"/>
    <cellStyle name="Comma 69 2" xfId="306" xr:uid="{00000000-0005-0000-0000-000031010000}"/>
    <cellStyle name="Comma 7" xfId="307" xr:uid="{00000000-0005-0000-0000-000032010000}"/>
    <cellStyle name="Comma 7 2" xfId="308" xr:uid="{00000000-0005-0000-0000-000033010000}"/>
    <cellStyle name="Comma 70" xfId="309" xr:uid="{00000000-0005-0000-0000-000034010000}"/>
    <cellStyle name="Comma 70 2" xfId="310" xr:uid="{00000000-0005-0000-0000-000035010000}"/>
    <cellStyle name="Comma 71" xfId="311" xr:uid="{00000000-0005-0000-0000-000036010000}"/>
    <cellStyle name="Comma 71 2" xfId="312" xr:uid="{00000000-0005-0000-0000-000037010000}"/>
    <cellStyle name="Comma 72" xfId="313" xr:uid="{00000000-0005-0000-0000-000038010000}"/>
    <cellStyle name="Comma 73" xfId="314" xr:uid="{00000000-0005-0000-0000-000039010000}"/>
    <cellStyle name="Comma 74" xfId="315" xr:uid="{00000000-0005-0000-0000-00003A010000}"/>
    <cellStyle name="Comma 75" xfId="316" xr:uid="{00000000-0005-0000-0000-00003B010000}"/>
    <cellStyle name="Comma 76" xfId="317" xr:uid="{00000000-0005-0000-0000-00003C010000}"/>
    <cellStyle name="Comma 8" xfId="318" xr:uid="{00000000-0005-0000-0000-00003D010000}"/>
    <cellStyle name="Comma 9" xfId="319" xr:uid="{00000000-0005-0000-0000-00003E010000}"/>
    <cellStyle name="Comma0" xfId="320" xr:uid="{00000000-0005-0000-0000-00003F010000}"/>
    <cellStyle name="Comma0 2" xfId="321" xr:uid="{00000000-0005-0000-0000-000040010000}"/>
    <cellStyle name="Comma0 2 2" xfId="322" xr:uid="{00000000-0005-0000-0000-000041010000}"/>
    <cellStyle name="Comma0 2 3" xfId="323" xr:uid="{00000000-0005-0000-0000-000042010000}"/>
    <cellStyle name="Comma0 2 4" xfId="324" xr:uid="{00000000-0005-0000-0000-000043010000}"/>
    <cellStyle name="Comma0 2 5" xfId="325" xr:uid="{00000000-0005-0000-0000-000044010000}"/>
    <cellStyle name="Comma0 3" xfId="326" xr:uid="{00000000-0005-0000-0000-000045010000}"/>
    <cellStyle name="Currency" xfId="327" builtinId="4"/>
    <cellStyle name="Currency 2" xfId="328" xr:uid="{00000000-0005-0000-0000-000047010000}"/>
    <cellStyle name="Currency 2 2" xfId="329" xr:uid="{00000000-0005-0000-0000-000048010000}"/>
    <cellStyle name="Currency 2 2 2" xfId="330" xr:uid="{00000000-0005-0000-0000-000049010000}"/>
    <cellStyle name="Currency 2 3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3 2 2" xfId="334" xr:uid="{00000000-0005-0000-0000-00004D010000}"/>
    <cellStyle name="Currency 3 3" xfId="335" xr:uid="{00000000-0005-0000-0000-00004E010000}"/>
    <cellStyle name="Currency 3 3 2" xfId="336" xr:uid="{00000000-0005-0000-0000-00004F010000}"/>
    <cellStyle name="Currency 3 3 2 2" xfId="337" xr:uid="{00000000-0005-0000-0000-000050010000}"/>
    <cellStyle name="Currency 3 3 2 3" xfId="338" xr:uid="{00000000-0005-0000-0000-000051010000}"/>
    <cellStyle name="Currency 3 3 3" xfId="339" xr:uid="{00000000-0005-0000-0000-000052010000}"/>
    <cellStyle name="Currency 3 3 3 2" xfId="340" xr:uid="{00000000-0005-0000-0000-000053010000}"/>
    <cellStyle name="Currency 3 3 3 2 2" xfId="341" xr:uid="{00000000-0005-0000-0000-000054010000}"/>
    <cellStyle name="Currency 3 3 3 2 3" xfId="342" xr:uid="{00000000-0005-0000-0000-000055010000}"/>
    <cellStyle name="Currency 3 3 3 2 4" xfId="343" xr:uid="{00000000-0005-0000-0000-000056010000}"/>
    <cellStyle name="Currency 3 3 3 3" xfId="344" xr:uid="{00000000-0005-0000-0000-000057010000}"/>
    <cellStyle name="Currency 3 3 4" xfId="345" xr:uid="{00000000-0005-0000-0000-000058010000}"/>
    <cellStyle name="Currency 3 3 5" xfId="346" xr:uid="{00000000-0005-0000-0000-000059010000}"/>
    <cellStyle name="Currency 3 3 5 2" xfId="347" xr:uid="{00000000-0005-0000-0000-00005A010000}"/>
    <cellStyle name="Currency 3 3 5 3" xfId="348" xr:uid="{00000000-0005-0000-0000-00005B010000}"/>
    <cellStyle name="Currency 3 3 5 4" xfId="349" xr:uid="{00000000-0005-0000-0000-00005C010000}"/>
    <cellStyle name="Currency 3 4" xfId="350" xr:uid="{00000000-0005-0000-0000-00005D010000}"/>
    <cellStyle name="Currency 3 4 2" xfId="351" xr:uid="{00000000-0005-0000-0000-00005E010000}"/>
    <cellStyle name="Currency 3 4 3" xfId="352" xr:uid="{00000000-0005-0000-0000-00005F010000}"/>
    <cellStyle name="Currency 3 4 4" xfId="353" xr:uid="{00000000-0005-0000-0000-000060010000}"/>
    <cellStyle name="Currency 3 4 4 2" xfId="354" xr:uid="{00000000-0005-0000-0000-000061010000}"/>
    <cellStyle name="Currency 3 4 4 3" xfId="355" xr:uid="{00000000-0005-0000-0000-000062010000}"/>
    <cellStyle name="Currency 3 4 4 4" xfId="356" xr:uid="{00000000-0005-0000-0000-000063010000}"/>
    <cellStyle name="Currency 3 4 5" xfId="357" xr:uid="{00000000-0005-0000-0000-000064010000}"/>
    <cellStyle name="Currency 3 5" xfId="358" xr:uid="{00000000-0005-0000-0000-000065010000}"/>
    <cellStyle name="Currency 3 5 2" xfId="359" xr:uid="{00000000-0005-0000-0000-000066010000}"/>
    <cellStyle name="Currency 3 6" xfId="360" xr:uid="{00000000-0005-0000-0000-000067010000}"/>
    <cellStyle name="Currency 3 7" xfId="361" xr:uid="{00000000-0005-0000-0000-000068010000}"/>
    <cellStyle name="Currency 3 8" xfId="362" xr:uid="{00000000-0005-0000-0000-000069010000}"/>
    <cellStyle name="Currency 4" xfId="363" xr:uid="{00000000-0005-0000-0000-00006A010000}"/>
    <cellStyle name="Currency 4 10" xfId="364" xr:uid="{00000000-0005-0000-0000-00006B010000}"/>
    <cellStyle name="Currency 4 10 2" xfId="365" xr:uid="{00000000-0005-0000-0000-00006C010000}"/>
    <cellStyle name="Currency 4 10 2 2" xfId="366" xr:uid="{00000000-0005-0000-0000-00006D010000}"/>
    <cellStyle name="Currency 4 10 2 2 2" xfId="367" xr:uid="{00000000-0005-0000-0000-00006E010000}"/>
    <cellStyle name="Currency 4 10 2 3" xfId="368" xr:uid="{00000000-0005-0000-0000-00006F010000}"/>
    <cellStyle name="Currency 4 10 2 3 2" xfId="369" xr:uid="{00000000-0005-0000-0000-000070010000}"/>
    <cellStyle name="Currency 4 10 2 4" xfId="370" xr:uid="{00000000-0005-0000-0000-000071010000}"/>
    <cellStyle name="Currency 4 10 3" xfId="371" xr:uid="{00000000-0005-0000-0000-000072010000}"/>
    <cellStyle name="Currency 4 10 3 2" xfId="372" xr:uid="{00000000-0005-0000-0000-000073010000}"/>
    <cellStyle name="Currency 4 10 4" xfId="373" xr:uid="{00000000-0005-0000-0000-000074010000}"/>
    <cellStyle name="Currency 4 10 4 2" xfId="374" xr:uid="{00000000-0005-0000-0000-000075010000}"/>
    <cellStyle name="Currency 4 10 4 3" xfId="375" xr:uid="{00000000-0005-0000-0000-000076010000}"/>
    <cellStyle name="Currency 4 10 5" xfId="376" xr:uid="{00000000-0005-0000-0000-000077010000}"/>
    <cellStyle name="Currency 4 10 5 2" xfId="377" xr:uid="{00000000-0005-0000-0000-000078010000}"/>
    <cellStyle name="Currency 4 2" xfId="378" xr:uid="{00000000-0005-0000-0000-000079010000}"/>
    <cellStyle name="Currency 4 2 2" xfId="379" xr:uid="{00000000-0005-0000-0000-00007A010000}"/>
    <cellStyle name="Currency 4 2 3" xfId="380" xr:uid="{00000000-0005-0000-0000-00007B010000}"/>
    <cellStyle name="Currency 4 3" xfId="381" xr:uid="{00000000-0005-0000-0000-00007C010000}"/>
    <cellStyle name="Currency 4 3 2" xfId="382" xr:uid="{00000000-0005-0000-0000-00007D010000}"/>
    <cellStyle name="Currency 4 3 2 2" xfId="383" xr:uid="{00000000-0005-0000-0000-00007E010000}"/>
    <cellStyle name="Currency 4 3 2 3" xfId="384" xr:uid="{00000000-0005-0000-0000-00007F010000}"/>
    <cellStyle name="Currency 4 3 2 4" xfId="385" xr:uid="{00000000-0005-0000-0000-000080010000}"/>
    <cellStyle name="Currency 4 3 3" xfId="386" xr:uid="{00000000-0005-0000-0000-000081010000}"/>
    <cellStyle name="Currency 4 4" xfId="387" xr:uid="{00000000-0005-0000-0000-000082010000}"/>
    <cellStyle name="Currency 4 5" xfId="388" xr:uid="{00000000-0005-0000-0000-000083010000}"/>
    <cellStyle name="Currency 4 5 2" xfId="389" xr:uid="{00000000-0005-0000-0000-000084010000}"/>
    <cellStyle name="Currency 4 5 3" xfId="390" xr:uid="{00000000-0005-0000-0000-000085010000}"/>
    <cellStyle name="Currency 4 5 4" xfId="391" xr:uid="{00000000-0005-0000-0000-000086010000}"/>
    <cellStyle name="Currency 5" xfId="392" xr:uid="{00000000-0005-0000-0000-000087010000}"/>
    <cellStyle name="Currency 5 2" xfId="393" xr:uid="{00000000-0005-0000-0000-000088010000}"/>
    <cellStyle name="Currency 5 3" xfId="394" xr:uid="{00000000-0005-0000-0000-000089010000}"/>
    <cellStyle name="Currency 5 4" xfId="395" xr:uid="{00000000-0005-0000-0000-00008A010000}"/>
    <cellStyle name="Currency 5 4 2" xfId="396" xr:uid="{00000000-0005-0000-0000-00008B010000}"/>
    <cellStyle name="Currency 5 4 3" xfId="397" xr:uid="{00000000-0005-0000-0000-00008C010000}"/>
    <cellStyle name="Currency 5 4 4" xfId="398" xr:uid="{00000000-0005-0000-0000-00008D010000}"/>
    <cellStyle name="Currency 5 5" xfId="399" xr:uid="{00000000-0005-0000-0000-00008E010000}"/>
    <cellStyle name="Currency 6" xfId="400" xr:uid="{00000000-0005-0000-0000-00008F010000}"/>
    <cellStyle name="Currency 6 2" xfId="401" xr:uid="{00000000-0005-0000-0000-000090010000}"/>
    <cellStyle name="Currency 6 3" xfId="402" xr:uid="{00000000-0005-0000-0000-000091010000}"/>
    <cellStyle name="Currency 6 3 2" xfId="403" xr:uid="{00000000-0005-0000-0000-000092010000}"/>
    <cellStyle name="Currency 6 3 3" xfId="404" xr:uid="{00000000-0005-0000-0000-000093010000}"/>
    <cellStyle name="Currency 6 3 4" xfId="405" xr:uid="{00000000-0005-0000-0000-000094010000}"/>
    <cellStyle name="Currency 7" xfId="406" xr:uid="{00000000-0005-0000-0000-000095010000}"/>
    <cellStyle name="Currency 8" xfId="407" xr:uid="{00000000-0005-0000-0000-000096010000}"/>
    <cellStyle name="Currency 9" xfId="408" xr:uid="{00000000-0005-0000-0000-000097010000}"/>
    <cellStyle name="Currency0" xfId="409" xr:uid="{00000000-0005-0000-0000-000098010000}"/>
    <cellStyle name="Currency0 2" xfId="410" xr:uid="{00000000-0005-0000-0000-000099010000}"/>
    <cellStyle name="Currency0 2 2" xfId="411" xr:uid="{00000000-0005-0000-0000-00009A010000}"/>
    <cellStyle name="Currency0 2 3" xfId="412" xr:uid="{00000000-0005-0000-0000-00009B010000}"/>
    <cellStyle name="Currency0 2 4" xfId="413" xr:uid="{00000000-0005-0000-0000-00009C010000}"/>
    <cellStyle name="Currency0 2 5" xfId="414" xr:uid="{00000000-0005-0000-0000-00009D010000}"/>
    <cellStyle name="Currency0 3" xfId="415" xr:uid="{00000000-0005-0000-0000-00009E010000}"/>
    <cellStyle name="Date" xfId="416" xr:uid="{00000000-0005-0000-0000-00009F010000}"/>
    <cellStyle name="Date 2" xfId="417" xr:uid="{00000000-0005-0000-0000-0000A0010000}"/>
    <cellStyle name="Date 2 2" xfId="418" xr:uid="{00000000-0005-0000-0000-0000A1010000}"/>
    <cellStyle name="Date 2 3" xfId="419" xr:uid="{00000000-0005-0000-0000-0000A2010000}"/>
    <cellStyle name="Date 2 4" xfId="420" xr:uid="{00000000-0005-0000-0000-0000A3010000}"/>
    <cellStyle name="Date 2 5" xfId="421" xr:uid="{00000000-0005-0000-0000-0000A4010000}"/>
    <cellStyle name="Date 3" xfId="422" xr:uid="{00000000-0005-0000-0000-0000A5010000}"/>
    <cellStyle name="Explanatory Text" xfId="423" builtinId="53" customBuiltin="1"/>
    <cellStyle name="Explanatory Text 2" xfId="424" xr:uid="{00000000-0005-0000-0000-0000A7010000}"/>
    <cellStyle name="Explanatory Text 2 2" xfId="425" xr:uid="{00000000-0005-0000-0000-0000A8010000}"/>
    <cellStyle name="Fixed" xfId="426" xr:uid="{00000000-0005-0000-0000-0000A9010000}"/>
    <cellStyle name="Fixed 2" xfId="427" xr:uid="{00000000-0005-0000-0000-0000AA010000}"/>
    <cellStyle name="Fixed 2 2" xfId="428" xr:uid="{00000000-0005-0000-0000-0000AB010000}"/>
    <cellStyle name="Fixed 2 3" xfId="429" xr:uid="{00000000-0005-0000-0000-0000AC010000}"/>
    <cellStyle name="Fixed 2 4" xfId="430" xr:uid="{00000000-0005-0000-0000-0000AD010000}"/>
    <cellStyle name="Fixed 2 5" xfId="431" xr:uid="{00000000-0005-0000-0000-0000AE010000}"/>
    <cellStyle name="Fixed 3" xfId="432" xr:uid="{00000000-0005-0000-0000-0000AF010000}"/>
    <cellStyle name="Good" xfId="433" builtinId="26" customBuiltin="1"/>
    <cellStyle name="Good 2" xfId="434" xr:uid="{00000000-0005-0000-0000-0000B1010000}"/>
    <cellStyle name="Good 2 2" xfId="435" xr:uid="{00000000-0005-0000-0000-0000B2010000}"/>
    <cellStyle name="Heading 1" xfId="436" builtinId="16" customBuiltin="1"/>
    <cellStyle name="Heading 1 2" xfId="437" xr:uid="{00000000-0005-0000-0000-0000B4010000}"/>
    <cellStyle name="Heading 1 2 2" xfId="438" xr:uid="{00000000-0005-0000-0000-0000B5010000}"/>
    <cellStyle name="Heading 1 3" xfId="439" xr:uid="{00000000-0005-0000-0000-0000B6010000}"/>
    <cellStyle name="Heading 1 3 2" xfId="440" xr:uid="{00000000-0005-0000-0000-0000B7010000}"/>
    <cellStyle name="Heading 2" xfId="441" builtinId="17" customBuiltin="1"/>
    <cellStyle name="Heading 2 2" xfId="442" xr:uid="{00000000-0005-0000-0000-0000B9010000}"/>
    <cellStyle name="Heading 2 2 2" xfId="443" xr:uid="{00000000-0005-0000-0000-0000BA010000}"/>
    <cellStyle name="Heading 2 3" xfId="444" xr:uid="{00000000-0005-0000-0000-0000BB010000}"/>
    <cellStyle name="Heading 2 3 2" xfId="445" xr:uid="{00000000-0005-0000-0000-0000BC010000}"/>
    <cellStyle name="Heading 3" xfId="446" builtinId="18" customBuiltin="1"/>
    <cellStyle name="Heading 3 2" xfId="447" xr:uid="{00000000-0005-0000-0000-0000BE010000}"/>
    <cellStyle name="Heading 3 2 2" xfId="448" xr:uid="{00000000-0005-0000-0000-0000BF010000}"/>
    <cellStyle name="Heading 4" xfId="449" builtinId="19" customBuiltin="1"/>
    <cellStyle name="Heading 4 2" xfId="450" xr:uid="{00000000-0005-0000-0000-0000C1010000}"/>
    <cellStyle name="Heading 4 2 2" xfId="451" xr:uid="{00000000-0005-0000-0000-0000C2010000}"/>
    <cellStyle name="Heading1" xfId="452" xr:uid="{00000000-0005-0000-0000-0000C3010000}"/>
    <cellStyle name="Heading2" xfId="453" xr:uid="{00000000-0005-0000-0000-0000C4010000}"/>
    <cellStyle name="Input" xfId="454" builtinId="20" customBuiltin="1"/>
    <cellStyle name="Input 2" xfId="455" xr:uid="{00000000-0005-0000-0000-0000C6010000}"/>
    <cellStyle name="Input 2 2" xfId="456" xr:uid="{00000000-0005-0000-0000-0000C7010000}"/>
    <cellStyle name="Linked Cell" xfId="457" builtinId="24" customBuiltin="1"/>
    <cellStyle name="Linked Cell 2" xfId="458" xr:uid="{00000000-0005-0000-0000-0000C9010000}"/>
    <cellStyle name="Linked Cell 2 2" xfId="459" xr:uid="{00000000-0005-0000-0000-0000CA010000}"/>
    <cellStyle name="M" xfId="460" xr:uid="{00000000-0005-0000-0000-0000CB010000}"/>
    <cellStyle name="M 2" xfId="461" xr:uid="{00000000-0005-0000-0000-0000CC010000}"/>
    <cellStyle name="M 2 2" xfId="462" xr:uid="{00000000-0005-0000-0000-0000CD010000}"/>
    <cellStyle name="M 2 2 2" xfId="463" xr:uid="{00000000-0005-0000-0000-0000CE010000}"/>
    <cellStyle name="M 3" xfId="464" xr:uid="{00000000-0005-0000-0000-0000CF010000}"/>
    <cellStyle name="M 3 2" xfId="465" xr:uid="{00000000-0005-0000-0000-0000D0010000}"/>
    <cellStyle name="M 3 2 2" xfId="466" xr:uid="{00000000-0005-0000-0000-0000D1010000}"/>
    <cellStyle name="M 4" xfId="467" xr:uid="{00000000-0005-0000-0000-0000D2010000}"/>
    <cellStyle name="M 5" xfId="468" xr:uid="{00000000-0005-0000-0000-0000D3010000}"/>
    <cellStyle name="M 5 2" xfId="469" xr:uid="{00000000-0005-0000-0000-0000D4010000}"/>
    <cellStyle name="M 6" xfId="470" xr:uid="{00000000-0005-0000-0000-0000D5010000}"/>
    <cellStyle name="M 6 2" xfId="471" xr:uid="{00000000-0005-0000-0000-0000D6010000}"/>
    <cellStyle name="M 7" xfId="472" xr:uid="{00000000-0005-0000-0000-0000D7010000}"/>
    <cellStyle name="Neutral" xfId="473" builtinId="28" customBuiltin="1"/>
    <cellStyle name="Neutral 2" xfId="474" xr:uid="{00000000-0005-0000-0000-0000D9010000}"/>
    <cellStyle name="Neutral 2 2" xfId="475" xr:uid="{00000000-0005-0000-0000-0000DA010000}"/>
    <cellStyle name="Normal" xfId="0" builtinId="0"/>
    <cellStyle name="Normal 10" xfId="476" xr:uid="{00000000-0005-0000-0000-0000DC010000}"/>
    <cellStyle name="Normal 10 2" xfId="477" xr:uid="{00000000-0005-0000-0000-0000DD010000}"/>
    <cellStyle name="Normal 11" xfId="478" xr:uid="{00000000-0005-0000-0000-0000DE010000}"/>
    <cellStyle name="Normal 11 2" xfId="479" xr:uid="{00000000-0005-0000-0000-0000DF010000}"/>
    <cellStyle name="Normal 11 3" xfId="480" xr:uid="{00000000-0005-0000-0000-0000E0010000}"/>
    <cellStyle name="Normal 12" xfId="481" xr:uid="{00000000-0005-0000-0000-0000E1010000}"/>
    <cellStyle name="Normal 12 2" xfId="482" xr:uid="{00000000-0005-0000-0000-0000E2010000}"/>
    <cellStyle name="Normal 12 3" xfId="483" xr:uid="{00000000-0005-0000-0000-0000E3010000}"/>
    <cellStyle name="Normal 2" xfId="484" xr:uid="{00000000-0005-0000-0000-0000E4010000}"/>
    <cellStyle name="Normal 2 2" xfId="485" xr:uid="{00000000-0005-0000-0000-0000E5010000}"/>
    <cellStyle name="Normal 2 2 2" xfId="486" xr:uid="{00000000-0005-0000-0000-0000E6010000}"/>
    <cellStyle name="Normal 2 2 3" xfId="487" xr:uid="{00000000-0005-0000-0000-0000E7010000}"/>
    <cellStyle name="Normal 2 2 4" xfId="488" xr:uid="{00000000-0005-0000-0000-0000E8010000}"/>
    <cellStyle name="Normal 3" xfId="489" xr:uid="{00000000-0005-0000-0000-0000E9010000}"/>
    <cellStyle name="Normal 3 2" xfId="490" xr:uid="{00000000-0005-0000-0000-0000EA010000}"/>
    <cellStyle name="Normal 3 2 2" xfId="491" xr:uid="{00000000-0005-0000-0000-0000EB010000}"/>
    <cellStyle name="Normal 3 3" xfId="492" xr:uid="{00000000-0005-0000-0000-0000EC010000}"/>
    <cellStyle name="Normal 3 3 2" xfId="493" xr:uid="{00000000-0005-0000-0000-0000ED010000}"/>
    <cellStyle name="Normal 3 3 3" xfId="494" xr:uid="{00000000-0005-0000-0000-0000EE010000}"/>
    <cellStyle name="Normal 3 3 4" xfId="495" xr:uid="{00000000-0005-0000-0000-0000EF010000}"/>
    <cellStyle name="Normal 3_OPCo Period I PJM  Formula Rate" xfId="496" xr:uid="{00000000-0005-0000-0000-0000F0010000}"/>
    <cellStyle name="Normal 35" xfId="497" xr:uid="{00000000-0005-0000-0000-0000F1010000}"/>
    <cellStyle name="Normal 4" xfId="498" xr:uid="{00000000-0005-0000-0000-0000F2010000}"/>
    <cellStyle name="Normal 4 2" xfId="499" xr:uid="{00000000-0005-0000-0000-0000F3010000}"/>
    <cellStyle name="Normal 4 2 2" xfId="500" xr:uid="{00000000-0005-0000-0000-0000F4010000}"/>
    <cellStyle name="Normal 4 3" xfId="501" xr:uid="{00000000-0005-0000-0000-0000F5010000}"/>
    <cellStyle name="Normal 4 3 2" xfId="502" xr:uid="{00000000-0005-0000-0000-0000F6010000}"/>
    <cellStyle name="Normal 4 3 2 2" xfId="503" xr:uid="{00000000-0005-0000-0000-0000F7010000}"/>
    <cellStyle name="Normal 4 3 2 3" xfId="504" xr:uid="{00000000-0005-0000-0000-0000F8010000}"/>
    <cellStyle name="Normal 4 3 3" xfId="505" xr:uid="{00000000-0005-0000-0000-0000F9010000}"/>
    <cellStyle name="Normal 4 3 3 2" xfId="506" xr:uid="{00000000-0005-0000-0000-0000FA010000}"/>
    <cellStyle name="Normal 4 3 3 2 2" xfId="507" xr:uid="{00000000-0005-0000-0000-0000FB010000}"/>
    <cellStyle name="Normal 4 3 3 2 3" xfId="508" xr:uid="{00000000-0005-0000-0000-0000FC010000}"/>
    <cellStyle name="Normal 4 3 3 2 4" xfId="509" xr:uid="{00000000-0005-0000-0000-0000FD010000}"/>
    <cellStyle name="Normal 4 3 3 3" xfId="510" xr:uid="{00000000-0005-0000-0000-0000FE010000}"/>
    <cellStyle name="Normal 4 3 4" xfId="511" xr:uid="{00000000-0005-0000-0000-0000FF010000}"/>
    <cellStyle name="Normal 4 3 5" xfId="512" xr:uid="{00000000-0005-0000-0000-000000020000}"/>
    <cellStyle name="Normal 4 3 5 2" xfId="513" xr:uid="{00000000-0005-0000-0000-000001020000}"/>
    <cellStyle name="Normal 4 3 5 3" xfId="514" xr:uid="{00000000-0005-0000-0000-000002020000}"/>
    <cellStyle name="Normal 4 3 5 4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4 3" xfId="518" xr:uid="{00000000-0005-0000-0000-000006020000}"/>
    <cellStyle name="Normal 4 4 4" xfId="519" xr:uid="{00000000-0005-0000-0000-000007020000}"/>
    <cellStyle name="Normal 4 4 4 2" xfId="520" xr:uid="{00000000-0005-0000-0000-000008020000}"/>
    <cellStyle name="Normal 4 4 4 3" xfId="521" xr:uid="{00000000-0005-0000-0000-000009020000}"/>
    <cellStyle name="Normal 4 4 4 4" xfId="522" xr:uid="{00000000-0005-0000-0000-00000A020000}"/>
    <cellStyle name="Normal 4 4 5" xfId="523" xr:uid="{00000000-0005-0000-0000-00000B020000}"/>
    <cellStyle name="Normal 4 5" xfId="524" xr:uid="{00000000-0005-0000-0000-00000C020000}"/>
    <cellStyle name="Normal 4 5 2" xfId="525" xr:uid="{00000000-0005-0000-0000-00000D020000}"/>
    <cellStyle name="Normal 4 5 2 2" xfId="526" xr:uid="{00000000-0005-0000-0000-00000E020000}"/>
    <cellStyle name="Normal 4 5 2 2 2" xfId="527" xr:uid="{00000000-0005-0000-0000-00000F020000}"/>
    <cellStyle name="Normal 4 5 2 2 3" xfId="528" xr:uid="{00000000-0005-0000-0000-000010020000}"/>
    <cellStyle name="Normal 4 5 2 2 4" xfId="529" xr:uid="{00000000-0005-0000-0000-000011020000}"/>
    <cellStyle name="Normal 4 5 3" xfId="530" xr:uid="{00000000-0005-0000-0000-000012020000}"/>
    <cellStyle name="Normal 4 6" xfId="531" xr:uid="{00000000-0005-0000-0000-000013020000}"/>
    <cellStyle name="Normal 4 7" xfId="532" xr:uid="{00000000-0005-0000-0000-000014020000}"/>
    <cellStyle name="Normal 4 8" xfId="533" xr:uid="{00000000-0005-0000-0000-000015020000}"/>
    <cellStyle name="Normal 4_PBOP Exhibit 1" xfId="534" xr:uid="{00000000-0005-0000-0000-000016020000}"/>
    <cellStyle name="Normal 5" xfId="535" xr:uid="{00000000-0005-0000-0000-000017020000}"/>
    <cellStyle name="Normal 5 2" xfId="536" xr:uid="{00000000-0005-0000-0000-000018020000}"/>
    <cellStyle name="Normal 5 2 2" xfId="537" xr:uid="{00000000-0005-0000-0000-000019020000}"/>
    <cellStyle name="Normal 5 2 3" xfId="538" xr:uid="{00000000-0005-0000-0000-00001A020000}"/>
    <cellStyle name="Normal 5 2 4" xfId="539" xr:uid="{00000000-0005-0000-0000-00001B020000}"/>
    <cellStyle name="Normal 6" xfId="540" xr:uid="{00000000-0005-0000-0000-00001C020000}"/>
    <cellStyle name="Normal 6 2" xfId="541" xr:uid="{00000000-0005-0000-0000-00001D020000}"/>
    <cellStyle name="Normal 7" xfId="542" xr:uid="{00000000-0005-0000-0000-00001E020000}"/>
    <cellStyle name="Normal 7 2" xfId="543" xr:uid="{00000000-0005-0000-0000-00001F020000}"/>
    <cellStyle name="Normal 7 3" xfId="544" xr:uid="{00000000-0005-0000-0000-000020020000}"/>
    <cellStyle name="Normal 8" xfId="545" xr:uid="{00000000-0005-0000-0000-000021020000}"/>
    <cellStyle name="Normal 8 2" xfId="546" xr:uid="{00000000-0005-0000-0000-000022020000}"/>
    <cellStyle name="Normal 9" xfId="547" xr:uid="{00000000-0005-0000-0000-000023020000}"/>
    <cellStyle name="Normal 9 2" xfId="548" xr:uid="{00000000-0005-0000-0000-000024020000}"/>
    <cellStyle name="Normal_FN1 Ratebase Draft SPP template (6-11-04) v2" xfId="549" xr:uid="{00000000-0005-0000-0000-000025020000}"/>
    <cellStyle name="Note" xfId="550" builtinId="10" customBuiltin="1"/>
    <cellStyle name="Note 2" xfId="551" xr:uid="{00000000-0005-0000-0000-000027020000}"/>
    <cellStyle name="Note 2 2" xfId="552" xr:uid="{00000000-0005-0000-0000-000028020000}"/>
    <cellStyle name="Note 2 2 2" xfId="553" xr:uid="{00000000-0005-0000-0000-000029020000}"/>
    <cellStyle name="Note 2 2 3" xfId="554" xr:uid="{00000000-0005-0000-0000-00002A020000}"/>
    <cellStyle name="Note 2 2 4" xfId="555" xr:uid="{00000000-0005-0000-0000-00002B020000}"/>
    <cellStyle name="Output" xfId="556" builtinId="21" customBuiltin="1"/>
    <cellStyle name="Output 2" xfId="557" xr:uid="{00000000-0005-0000-0000-00002D020000}"/>
    <cellStyle name="Output 2 2" xfId="558" xr:uid="{00000000-0005-0000-0000-00002E020000}"/>
    <cellStyle name="Percent" xfId="559" builtinId="5"/>
    <cellStyle name="Percent 10" xfId="560" xr:uid="{00000000-0005-0000-0000-000030020000}"/>
    <cellStyle name="Percent 2" xfId="561" xr:uid="{00000000-0005-0000-0000-000031020000}"/>
    <cellStyle name="Percent 2 2" xfId="562" xr:uid="{00000000-0005-0000-0000-000032020000}"/>
    <cellStyle name="Percent 2 2 2" xfId="563" xr:uid="{00000000-0005-0000-0000-000033020000}"/>
    <cellStyle name="Percent 2 3" xfId="564" xr:uid="{00000000-0005-0000-0000-000034020000}"/>
    <cellStyle name="Percent 3" xfId="565" xr:uid="{00000000-0005-0000-0000-000035020000}"/>
    <cellStyle name="Percent 3 2" xfId="566" xr:uid="{00000000-0005-0000-0000-000036020000}"/>
    <cellStyle name="Percent 3 2 2" xfId="567" xr:uid="{00000000-0005-0000-0000-000037020000}"/>
    <cellStyle name="Percent 3 3" xfId="568" xr:uid="{00000000-0005-0000-0000-000038020000}"/>
    <cellStyle name="Percent 3 3 2" xfId="569" xr:uid="{00000000-0005-0000-0000-000039020000}"/>
    <cellStyle name="Percent 3 3 2 2" xfId="570" xr:uid="{00000000-0005-0000-0000-00003A020000}"/>
    <cellStyle name="Percent 3 3 2 3" xfId="571" xr:uid="{00000000-0005-0000-0000-00003B020000}"/>
    <cellStyle name="Percent 3 3 3" xfId="572" xr:uid="{00000000-0005-0000-0000-00003C020000}"/>
    <cellStyle name="Percent 3 3 3 2" xfId="573" xr:uid="{00000000-0005-0000-0000-00003D020000}"/>
    <cellStyle name="Percent 3 3 3 2 2" xfId="574" xr:uid="{00000000-0005-0000-0000-00003E020000}"/>
    <cellStyle name="Percent 3 3 3 2 3" xfId="575" xr:uid="{00000000-0005-0000-0000-00003F020000}"/>
    <cellStyle name="Percent 3 3 3 2 4" xfId="576" xr:uid="{00000000-0005-0000-0000-000040020000}"/>
    <cellStyle name="Percent 3 3 3 3" xfId="577" xr:uid="{00000000-0005-0000-0000-000041020000}"/>
    <cellStyle name="Percent 3 3 4" xfId="578" xr:uid="{00000000-0005-0000-0000-000042020000}"/>
    <cellStyle name="Percent 3 3 5" xfId="579" xr:uid="{00000000-0005-0000-0000-000043020000}"/>
    <cellStyle name="Percent 3 3 5 2" xfId="580" xr:uid="{00000000-0005-0000-0000-000044020000}"/>
    <cellStyle name="Percent 3 3 5 3" xfId="581" xr:uid="{00000000-0005-0000-0000-000045020000}"/>
    <cellStyle name="Percent 3 3 5 4" xfId="582" xr:uid="{00000000-0005-0000-0000-000046020000}"/>
    <cellStyle name="Percent 3 4" xfId="583" xr:uid="{00000000-0005-0000-0000-000047020000}"/>
    <cellStyle name="Percent 3 4 2" xfId="584" xr:uid="{00000000-0005-0000-0000-000048020000}"/>
    <cellStyle name="Percent 3 4 3" xfId="585" xr:uid="{00000000-0005-0000-0000-000049020000}"/>
    <cellStyle name="Percent 3 4 4" xfId="586" xr:uid="{00000000-0005-0000-0000-00004A020000}"/>
    <cellStyle name="Percent 3 4 4 2" xfId="587" xr:uid="{00000000-0005-0000-0000-00004B020000}"/>
    <cellStyle name="Percent 3 4 4 3" xfId="588" xr:uid="{00000000-0005-0000-0000-00004C020000}"/>
    <cellStyle name="Percent 3 4 4 4" xfId="589" xr:uid="{00000000-0005-0000-0000-00004D020000}"/>
    <cellStyle name="Percent 3 4 5" xfId="590" xr:uid="{00000000-0005-0000-0000-00004E020000}"/>
    <cellStyle name="Percent 3 5" xfId="591" xr:uid="{00000000-0005-0000-0000-00004F020000}"/>
    <cellStyle name="Percent 3 5 2" xfId="592" xr:uid="{00000000-0005-0000-0000-000050020000}"/>
    <cellStyle name="Percent 3 6" xfId="593" xr:uid="{00000000-0005-0000-0000-000051020000}"/>
    <cellStyle name="Percent 3 7" xfId="594" xr:uid="{00000000-0005-0000-0000-000052020000}"/>
    <cellStyle name="Percent 3 8" xfId="595" xr:uid="{00000000-0005-0000-0000-000053020000}"/>
    <cellStyle name="Percent 4" xfId="596" xr:uid="{00000000-0005-0000-0000-000054020000}"/>
    <cellStyle name="Percent 4 2" xfId="597" xr:uid="{00000000-0005-0000-0000-000055020000}"/>
    <cellStyle name="Percent 4 2 2" xfId="598" xr:uid="{00000000-0005-0000-0000-000056020000}"/>
    <cellStyle name="Percent 4 2 3" xfId="599" xr:uid="{00000000-0005-0000-0000-000057020000}"/>
    <cellStyle name="Percent 4 3" xfId="600" xr:uid="{00000000-0005-0000-0000-000058020000}"/>
    <cellStyle name="Percent 4 3 2" xfId="601" xr:uid="{00000000-0005-0000-0000-000059020000}"/>
    <cellStyle name="Percent 4 3 2 2" xfId="602" xr:uid="{00000000-0005-0000-0000-00005A020000}"/>
    <cellStyle name="Percent 4 3 2 3" xfId="603" xr:uid="{00000000-0005-0000-0000-00005B020000}"/>
    <cellStyle name="Percent 4 3 2 4" xfId="604" xr:uid="{00000000-0005-0000-0000-00005C020000}"/>
    <cellStyle name="Percent 4 3 3" xfId="605" xr:uid="{00000000-0005-0000-0000-00005D020000}"/>
    <cellStyle name="Percent 4 4" xfId="606" xr:uid="{00000000-0005-0000-0000-00005E020000}"/>
    <cellStyle name="Percent 4 5" xfId="607" xr:uid="{00000000-0005-0000-0000-00005F020000}"/>
    <cellStyle name="Percent 4 5 2" xfId="608" xr:uid="{00000000-0005-0000-0000-000060020000}"/>
    <cellStyle name="Percent 4 5 3" xfId="609" xr:uid="{00000000-0005-0000-0000-000061020000}"/>
    <cellStyle name="Percent 4 5 4" xfId="610" xr:uid="{00000000-0005-0000-0000-000062020000}"/>
    <cellStyle name="Percent 5" xfId="611" xr:uid="{00000000-0005-0000-0000-000063020000}"/>
    <cellStyle name="Percent 5 2" xfId="612" xr:uid="{00000000-0005-0000-0000-000064020000}"/>
    <cellStyle name="Percent 5 3" xfId="613" xr:uid="{00000000-0005-0000-0000-000065020000}"/>
    <cellStyle name="Percent 5 4" xfId="614" xr:uid="{00000000-0005-0000-0000-000066020000}"/>
    <cellStyle name="Percent 5 4 2" xfId="615" xr:uid="{00000000-0005-0000-0000-000067020000}"/>
    <cellStyle name="Percent 5 4 3" xfId="616" xr:uid="{00000000-0005-0000-0000-000068020000}"/>
    <cellStyle name="Percent 5 4 4" xfId="617" xr:uid="{00000000-0005-0000-0000-000069020000}"/>
    <cellStyle name="Percent 5 5" xfId="618" xr:uid="{00000000-0005-0000-0000-00006A020000}"/>
    <cellStyle name="Percent 6" xfId="619" xr:uid="{00000000-0005-0000-0000-00006B020000}"/>
    <cellStyle name="Percent 6 2" xfId="620" xr:uid="{00000000-0005-0000-0000-00006C020000}"/>
    <cellStyle name="Percent 7" xfId="621" xr:uid="{00000000-0005-0000-0000-00006D020000}"/>
    <cellStyle name="Percent 7 2" xfId="622" xr:uid="{00000000-0005-0000-0000-00006E020000}"/>
    <cellStyle name="Percent 7 2 2" xfId="623" xr:uid="{00000000-0005-0000-0000-00006F020000}"/>
    <cellStyle name="Percent 7 2 2 2" xfId="624" xr:uid="{00000000-0005-0000-0000-000070020000}"/>
    <cellStyle name="Percent 7 2 2 2 2" xfId="625" xr:uid="{00000000-0005-0000-0000-000071020000}"/>
    <cellStyle name="Percent 7 2 2 3" xfId="626" xr:uid="{00000000-0005-0000-0000-000072020000}"/>
    <cellStyle name="Percent 7 2 2 3 2" xfId="627" xr:uid="{00000000-0005-0000-0000-000073020000}"/>
    <cellStyle name="Percent 7 2 2 4" xfId="628" xr:uid="{00000000-0005-0000-0000-000074020000}"/>
    <cellStyle name="Percent 7 2 3" xfId="629" xr:uid="{00000000-0005-0000-0000-000075020000}"/>
    <cellStyle name="Percent 7 2 3 2" xfId="630" xr:uid="{00000000-0005-0000-0000-000076020000}"/>
    <cellStyle name="Percent 7 2 4" xfId="631" xr:uid="{00000000-0005-0000-0000-000077020000}"/>
    <cellStyle name="Percent 7 2 4 2" xfId="632" xr:uid="{00000000-0005-0000-0000-000078020000}"/>
    <cellStyle name="Percent 7 2 4 3" xfId="633" xr:uid="{00000000-0005-0000-0000-000079020000}"/>
    <cellStyle name="Percent 7 2 5" xfId="634" xr:uid="{00000000-0005-0000-0000-00007A020000}"/>
    <cellStyle name="Percent 7 2 5 2" xfId="635" xr:uid="{00000000-0005-0000-0000-00007B020000}"/>
    <cellStyle name="Percent 7 3" xfId="636" xr:uid="{00000000-0005-0000-0000-00007C020000}"/>
    <cellStyle name="Percent 7 4" xfId="637" xr:uid="{00000000-0005-0000-0000-00007D020000}"/>
    <cellStyle name="Percent 7 5" xfId="638" xr:uid="{00000000-0005-0000-0000-00007E020000}"/>
    <cellStyle name="Percent 8" xfId="639" xr:uid="{00000000-0005-0000-0000-00007F020000}"/>
    <cellStyle name="Percent 9" xfId="640" xr:uid="{00000000-0005-0000-0000-000080020000}"/>
    <cellStyle name="PSChar" xfId="641" xr:uid="{00000000-0005-0000-0000-000081020000}"/>
    <cellStyle name="PSChar 2" xfId="642" xr:uid="{00000000-0005-0000-0000-000082020000}"/>
    <cellStyle name="PSChar 2 2" xfId="643" xr:uid="{00000000-0005-0000-0000-000083020000}"/>
    <cellStyle name="PSChar 3" xfId="644" xr:uid="{00000000-0005-0000-0000-000084020000}"/>
    <cellStyle name="PSChar 4" xfId="645" xr:uid="{00000000-0005-0000-0000-000085020000}"/>
    <cellStyle name="PSChar 4 2" xfId="646" xr:uid="{00000000-0005-0000-0000-000086020000}"/>
    <cellStyle name="PSChar 5" xfId="647" xr:uid="{00000000-0005-0000-0000-000087020000}"/>
    <cellStyle name="PSChar 5 2" xfId="648" xr:uid="{00000000-0005-0000-0000-000088020000}"/>
    <cellStyle name="PSDate" xfId="649" xr:uid="{00000000-0005-0000-0000-000089020000}"/>
    <cellStyle name="PSDate 2" xfId="650" xr:uid="{00000000-0005-0000-0000-00008A020000}"/>
    <cellStyle name="PSDate 3" xfId="651" xr:uid="{00000000-0005-0000-0000-00008B020000}"/>
    <cellStyle name="PSDate 4" xfId="652" xr:uid="{00000000-0005-0000-0000-00008C020000}"/>
    <cellStyle name="PSDate 4 2" xfId="653" xr:uid="{00000000-0005-0000-0000-00008D020000}"/>
    <cellStyle name="PSDate 5" xfId="654" xr:uid="{00000000-0005-0000-0000-00008E020000}"/>
    <cellStyle name="PSDate 5 2" xfId="655" xr:uid="{00000000-0005-0000-0000-00008F020000}"/>
    <cellStyle name="PSDec" xfId="656" xr:uid="{00000000-0005-0000-0000-000090020000}"/>
    <cellStyle name="PSDec 2" xfId="657" xr:uid="{00000000-0005-0000-0000-000091020000}"/>
    <cellStyle name="PSDec 3" xfId="658" xr:uid="{00000000-0005-0000-0000-000092020000}"/>
    <cellStyle name="PSDec 4" xfId="659" xr:uid="{00000000-0005-0000-0000-000093020000}"/>
    <cellStyle name="PSDec 4 2" xfId="660" xr:uid="{00000000-0005-0000-0000-000094020000}"/>
    <cellStyle name="PSDec 5" xfId="661" xr:uid="{00000000-0005-0000-0000-000095020000}"/>
    <cellStyle name="PSDec 5 2" xfId="662" xr:uid="{00000000-0005-0000-0000-000096020000}"/>
    <cellStyle name="PSdesc" xfId="663" xr:uid="{00000000-0005-0000-0000-000097020000}"/>
    <cellStyle name="PSdesc 2" xfId="664" xr:uid="{00000000-0005-0000-0000-000098020000}"/>
    <cellStyle name="PSHeading" xfId="665" xr:uid="{00000000-0005-0000-0000-000099020000}"/>
    <cellStyle name="PSHeading 2" xfId="666" xr:uid="{00000000-0005-0000-0000-00009A020000}"/>
    <cellStyle name="PSHeading 3" xfId="667" xr:uid="{00000000-0005-0000-0000-00009B020000}"/>
    <cellStyle name="PSHeading 4" xfId="668" xr:uid="{00000000-0005-0000-0000-00009C020000}"/>
    <cellStyle name="PSHeading 5" xfId="669" xr:uid="{00000000-0005-0000-0000-00009D020000}"/>
    <cellStyle name="PSHeading 5 2" xfId="670" xr:uid="{00000000-0005-0000-0000-00009E020000}"/>
    <cellStyle name="PSHeading 6" xfId="671" xr:uid="{00000000-0005-0000-0000-00009F020000}"/>
    <cellStyle name="PSHeading 6 2" xfId="672" xr:uid="{00000000-0005-0000-0000-0000A0020000}"/>
    <cellStyle name="PSInt" xfId="673" xr:uid="{00000000-0005-0000-0000-0000A1020000}"/>
    <cellStyle name="PSInt 2" xfId="674" xr:uid="{00000000-0005-0000-0000-0000A2020000}"/>
    <cellStyle name="PSInt 3" xfId="675" xr:uid="{00000000-0005-0000-0000-0000A3020000}"/>
    <cellStyle name="PSInt 4" xfId="676" xr:uid="{00000000-0005-0000-0000-0000A4020000}"/>
    <cellStyle name="PSInt 4 2" xfId="677" xr:uid="{00000000-0005-0000-0000-0000A5020000}"/>
    <cellStyle name="PSInt 5" xfId="678" xr:uid="{00000000-0005-0000-0000-0000A6020000}"/>
    <cellStyle name="PSInt 5 2" xfId="679" xr:uid="{00000000-0005-0000-0000-0000A7020000}"/>
    <cellStyle name="PSSpacer" xfId="680" xr:uid="{00000000-0005-0000-0000-0000A8020000}"/>
    <cellStyle name="PSSpacer 2" xfId="681" xr:uid="{00000000-0005-0000-0000-0000A9020000}"/>
    <cellStyle name="PSSpacer 3" xfId="682" xr:uid="{00000000-0005-0000-0000-0000AA020000}"/>
    <cellStyle name="PSSpacer 3 2" xfId="683" xr:uid="{00000000-0005-0000-0000-0000AB020000}"/>
    <cellStyle name="PStest" xfId="684" xr:uid="{00000000-0005-0000-0000-0000AC020000}"/>
    <cellStyle name="PStest 2" xfId="685" xr:uid="{00000000-0005-0000-0000-0000AD020000}"/>
    <cellStyle name="R00A" xfId="686" xr:uid="{00000000-0005-0000-0000-0000AE020000}"/>
    <cellStyle name="R00B" xfId="687" xr:uid="{00000000-0005-0000-0000-0000AF020000}"/>
    <cellStyle name="R00L" xfId="688" xr:uid="{00000000-0005-0000-0000-0000B0020000}"/>
    <cellStyle name="R01A" xfId="689" xr:uid="{00000000-0005-0000-0000-0000B1020000}"/>
    <cellStyle name="R01B" xfId="690" xr:uid="{00000000-0005-0000-0000-0000B2020000}"/>
    <cellStyle name="R01H" xfId="691" xr:uid="{00000000-0005-0000-0000-0000B3020000}"/>
    <cellStyle name="R01L" xfId="692" xr:uid="{00000000-0005-0000-0000-0000B4020000}"/>
    <cellStyle name="R02A" xfId="693" xr:uid="{00000000-0005-0000-0000-0000B5020000}"/>
    <cellStyle name="R02B" xfId="694" xr:uid="{00000000-0005-0000-0000-0000B6020000}"/>
    <cellStyle name="R02B 2" xfId="695" xr:uid="{00000000-0005-0000-0000-0000B7020000}"/>
    <cellStyle name="R02H" xfId="696" xr:uid="{00000000-0005-0000-0000-0000B8020000}"/>
    <cellStyle name="R02L" xfId="697" xr:uid="{00000000-0005-0000-0000-0000B9020000}"/>
    <cellStyle name="R03A" xfId="698" xr:uid="{00000000-0005-0000-0000-0000BA020000}"/>
    <cellStyle name="R03B" xfId="699" xr:uid="{00000000-0005-0000-0000-0000BB020000}"/>
    <cellStyle name="R03B 2" xfId="700" xr:uid="{00000000-0005-0000-0000-0000BC020000}"/>
    <cellStyle name="R03H" xfId="701" xr:uid="{00000000-0005-0000-0000-0000BD020000}"/>
    <cellStyle name="R03L" xfId="702" xr:uid="{00000000-0005-0000-0000-0000BE020000}"/>
    <cellStyle name="R04A" xfId="703" xr:uid="{00000000-0005-0000-0000-0000BF020000}"/>
    <cellStyle name="R04B" xfId="704" xr:uid="{00000000-0005-0000-0000-0000C0020000}"/>
    <cellStyle name="R04B 2" xfId="705" xr:uid="{00000000-0005-0000-0000-0000C1020000}"/>
    <cellStyle name="R04H" xfId="706" xr:uid="{00000000-0005-0000-0000-0000C2020000}"/>
    <cellStyle name="R04L" xfId="707" xr:uid="{00000000-0005-0000-0000-0000C3020000}"/>
    <cellStyle name="R05A" xfId="708" xr:uid="{00000000-0005-0000-0000-0000C4020000}"/>
    <cellStyle name="R05B" xfId="709" xr:uid="{00000000-0005-0000-0000-0000C5020000}"/>
    <cellStyle name="R05B 2" xfId="710" xr:uid="{00000000-0005-0000-0000-0000C6020000}"/>
    <cellStyle name="R05H" xfId="711" xr:uid="{00000000-0005-0000-0000-0000C7020000}"/>
    <cellStyle name="R05L" xfId="712" xr:uid="{00000000-0005-0000-0000-0000C8020000}"/>
    <cellStyle name="R05L 2" xfId="713" xr:uid="{00000000-0005-0000-0000-0000C9020000}"/>
    <cellStyle name="R06A" xfId="714" xr:uid="{00000000-0005-0000-0000-0000CA020000}"/>
    <cellStyle name="R06B" xfId="715" xr:uid="{00000000-0005-0000-0000-0000CB020000}"/>
    <cellStyle name="R06B 2" xfId="716" xr:uid="{00000000-0005-0000-0000-0000CC020000}"/>
    <cellStyle name="R06H" xfId="717" xr:uid="{00000000-0005-0000-0000-0000CD020000}"/>
    <cellStyle name="R06L" xfId="718" xr:uid="{00000000-0005-0000-0000-0000CE020000}"/>
    <cellStyle name="R07A" xfId="719" xr:uid="{00000000-0005-0000-0000-0000CF020000}"/>
    <cellStyle name="R07B" xfId="720" xr:uid="{00000000-0005-0000-0000-0000D0020000}"/>
    <cellStyle name="R07B 2" xfId="721" xr:uid="{00000000-0005-0000-0000-0000D1020000}"/>
    <cellStyle name="R07H" xfId="722" xr:uid="{00000000-0005-0000-0000-0000D2020000}"/>
    <cellStyle name="R07L" xfId="723" xr:uid="{00000000-0005-0000-0000-0000D3020000}"/>
    <cellStyle name="Title" xfId="724" builtinId="15" customBuiltin="1"/>
    <cellStyle name="Title 2" xfId="725" xr:uid="{00000000-0005-0000-0000-0000D5020000}"/>
    <cellStyle name="Title 2 2" xfId="726" xr:uid="{00000000-0005-0000-0000-0000D6020000}"/>
    <cellStyle name="Total" xfId="727" builtinId="25" customBuiltin="1"/>
    <cellStyle name="Total 2" xfId="728" xr:uid="{00000000-0005-0000-0000-0000D8020000}"/>
    <cellStyle name="Total 2 2" xfId="729" xr:uid="{00000000-0005-0000-0000-0000D9020000}"/>
    <cellStyle name="Total 3" xfId="730" xr:uid="{00000000-0005-0000-0000-0000DA020000}"/>
    <cellStyle name="Total 3 2" xfId="731" xr:uid="{00000000-0005-0000-0000-0000DB020000}"/>
    <cellStyle name="Warning Text" xfId="732" builtinId="11" customBuiltin="1"/>
    <cellStyle name="Warning Text 2" xfId="733" xr:uid="{00000000-0005-0000-0000-0000DD020000}"/>
    <cellStyle name="Warning Text 2 2" xfId="734" xr:uid="{00000000-0005-0000-0000-0000DE020000}"/>
  </cellStyles>
  <dxfs count="6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B00-0000F52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C00-0000F25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D00-0000F45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E00-0000F25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F00-0000F26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1000-0000EF6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1100-0000B86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1200-0000B57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1300-0000807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1400-0000807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1500-0000039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1600-0000039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1700-0000039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1800-000003A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0</xdr:rowOff>
    </xdr:to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1900-00005EA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0</xdr:rowOff>
    </xdr:to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1A00-00005EA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1B00-00000FB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1C00-00000FC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1D00-00000FC4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1E00-00000FC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2</xdr:row>
      <xdr:rowOff>6350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2200-0000F33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800-0000F51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900-0000F22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7"/>
  <sheetViews>
    <sheetView tabSelected="1" zoomScale="70" zoomScaleNormal="70" zoomScaleSheetLayoutView="75" workbookViewId="0">
      <selection activeCell="C5" sqref="C5"/>
    </sheetView>
  </sheetViews>
  <sheetFormatPr defaultColWidth="8.7265625" defaultRowHeight="12.75" customHeight="1"/>
  <cols>
    <col min="1" max="1" width="7.453125" style="148" customWidth="1"/>
    <col min="2" max="2" width="7" style="148" bestFit="1" customWidth="1"/>
    <col min="3" max="3" width="43.1796875" style="148" customWidth="1"/>
    <col min="4" max="4" width="9.54296875" style="148" customWidth="1"/>
    <col min="5" max="7" width="15.453125" style="148" bestFit="1" customWidth="1"/>
    <col min="8" max="8" width="2.81640625" style="148" customWidth="1"/>
    <col min="9" max="9" width="13.54296875" style="148" bestFit="1" customWidth="1"/>
    <col min="10" max="10" width="13.26953125" style="148" customWidth="1"/>
    <col min="11" max="11" width="12.81640625" style="148" bestFit="1" customWidth="1"/>
    <col min="12" max="12" width="15.26953125" style="148" customWidth="1"/>
    <col min="13" max="13" width="2.453125" style="148" customWidth="1"/>
    <col min="14" max="14" width="6.1796875" style="148" customWidth="1"/>
    <col min="15" max="15" width="8.7265625" style="148" customWidth="1"/>
    <col min="16" max="16" width="10.7265625" style="148" customWidth="1"/>
    <col min="17" max="17" width="14.453125" style="148" customWidth="1"/>
    <col min="18" max="18" width="18.7265625" style="148" customWidth="1"/>
    <col min="19" max="19" width="2.453125" style="148" customWidth="1"/>
    <col min="20" max="20" width="19.1796875" style="148" bestFit="1" customWidth="1"/>
    <col min="21" max="21" width="8.7265625" style="148"/>
    <col min="22" max="22" width="13.81640625" style="148" customWidth="1"/>
    <col min="23" max="23" width="8.7265625" style="148"/>
    <col min="24" max="24" width="59.26953125" style="148" bestFit="1" customWidth="1"/>
    <col min="25" max="28" width="8.7265625" style="148"/>
    <col min="29" max="29" width="9.1796875" style="148" customWidth="1"/>
    <col min="30" max="16384" width="8.7265625" style="148"/>
  </cols>
  <sheetData>
    <row r="1" spans="1:24" ht="15.5">
      <c r="H1" s="149" t="s">
        <v>157</v>
      </c>
      <c r="U1" s="631">
        <v>2022</v>
      </c>
    </row>
    <row r="2" spans="1:24" ht="15.5">
      <c r="H2" s="150" t="s">
        <v>189</v>
      </c>
      <c r="U2" s="631">
        <v>2023</v>
      </c>
    </row>
    <row r="3" spans="1:24" ht="15.5">
      <c r="H3" s="151" t="str">
        <f>"For Calendar Year "&amp;U1&amp;" and Projected Year "&amp;U2</f>
        <v>For Calendar Year 2022 and Projected Year 2023</v>
      </c>
    </row>
    <row r="4" spans="1:24" ht="15.5">
      <c r="H4" s="152"/>
    </row>
    <row r="5" spans="1:24" ht="15.5">
      <c r="H5" s="153" t="s">
        <v>158</v>
      </c>
    </row>
    <row r="7" spans="1:24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4" ht="12.5">
      <c r="D8" s="155"/>
    </row>
    <row r="9" spans="1:24" ht="12.5">
      <c r="A9" s="148" t="s">
        <v>260</v>
      </c>
    </row>
    <row r="12" spans="1:24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4" ht="16.5" customHeight="1">
      <c r="A13" s="160"/>
      <c r="B13" s="160"/>
      <c r="C13" s="160"/>
      <c r="D13" s="160"/>
      <c r="E13" s="633" t="str">
        <f>"Projected ARR For "&amp;U2&amp;" From WS-F"</f>
        <v>Projected ARR For 2023 From WS-F</v>
      </c>
      <c r="F13" s="633"/>
      <c r="G13" s="633"/>
      <c r="H13" s="160"/>
      <c r="I13" s="161" t="s">
        <v>382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4" ht="18" customHeight="1">
      <c r="I14" s="163"/>
      <c r="T14" s="634" t="str">
        <f>"Total ADJUSTED Revenue Requirement Effective
1/1/"&amp;U2&amp;""</f>
        <v>Total ADJUSTED Revenue Requirement Effective
1/1/2023</v>
      </c>
    </row>
    <row r="15" spans="1:24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34"/>
    </row>
    <row r="16" spans="1:24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632" t="s">
        <v>223</v>
      </c>
      <c r="K16" s="632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34"/>
      <c r="V16" s="177" t="s">
        <v>200</v>
      </c>
      <c r="X16" s="148" t="s">
        <v>381</v>
      </c>
    </row>
    <row r="17" spans="1:24" ht="1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4" ht="13">
      <c r="A18" s="156" t="s">
        <v>178</v>
      </c>
      <c r="B18" s="156" t="s">
        <v>117</v>
      </c>
      <c r="C18" s="180" t="str">
        <f t="shared" ref="C18:E48" ca="1" si="0">INDIRECT("'"&amp; $A18 &amp; "'!" &amp;C$58)</f>
        <v>Riverside-Glenpool (81-523) Reconductor</v>
      </c>
      <c r="D18" s="181">
        <f t="shared" ca="1" si="0"/>
        <v>2009</v>
      </c>
      <c r="E18" s="621">
        <f ca="1">INDIRECT("'"&amp; $A18 &amp; "'!" &amp;E$58)</f>
        <v>97046.160151699252</v>
      </c>
      <c r="F18" s="183">
        <f t="shared" ref="F18:F48" ca="1" si="1">INDIRECT("'"&amp; $A18 &amp; "'!" &amp;F$58)</f>
        <v>0</v>
      </c>
      <c r="G18" s="183">
        <f t="shared" ref="G18:G27" ca="1" si="2">+E18+F18</f>
        <v>97046.160151699252</v>
      </c>
      <c r="H18" s="184"/>
      <c r="I18" s="186">
        <v>5443.2067436068755</v>
      </c>
      <c r="J18" s="186">
        <v>91727.817291452768</v>
      </c>
      <c r="K18" s="186">
        <v>91551.69061581495</v>
      </c>
      <c r="L18" s="182">
        <f t="shared" ref="L18:L27" si="3">+J18-K18</f>
        <v>176.12667563781724</v>
      </c>
      <c r="M18" s="182"/>
      <c r="N18" s="183">
        <v>0</v>
      </c>
      <c r="O18" s="183">
        <v>0</v>
      </c>
      <c r="P18" s="183">
        <f t="shared" ref="P18:P26" si="4">+N18-O18</f>
        <v>0</v>
      </c>
      <c r="Q18" s="624">
        <f ca="1">+V18/$V$51 * $Q$51</f>
        <v>377.695237874523</v>
      </c>
      <c r="R18" s="187">
        <f t="shared" ref="R18:R27" ca="1" si="5">I18+L18+P18+Q18</f>
        <v>5997.0286571192155</v>
      </c>
      <c r="S18" s="187"/>
      <c r="T18" s="188">
        <f t="shared" ref="T18:T27" ca="1" si="6">+G18+R18</f>
        <v>103043.18880881846</v>
      </c>
      <c r="V18" s="189">
        <f t="shared" ref="V18:V27" si="7">+I18+L18+P18</f>
        <v>5619.3334192446928</v>
      </c>
      <c r="W18" s="159" t="str">
        <f>A18</f>
        <v>P.001</v>
      </c>
      <c r="X18" s="148" t="s">
        <v>383</v>
      </c>
    </row>
    <row r="19" spans="1:24" ht="13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621">
        <f t="shared" ca="1" si="0"/>
        <v>503612.14466528577</v>
      </c>
      <c r="F19" s="183">
        <f t="shared" ca="1" si="1"/>
        <v>0</v>
      </c>
      <c r="G19" s="183">
        <f t="shared" ca="1" si="2"/>
        <v>503612.14466528577</v>
      </c>
      <c r="H19" s="184"/>
      <c r="I19" s="186">
        <v>32651.992581725412</v>
      </c>
      <c r="J19" s="186">
        <v>481256.18162662158</v>
      </c>
      <c r="K19" s="186">
        <v>480332.12114090513</v>
      </c>
      <c r="L19" s="182">
        <f t="shared" si="3"/>
        <v>924.06048571644351</v>
      </c>
      <c r="M19" s="182"/>
      <c r="N19" s="183">
        <v>0</v>
      </c>
      <c r="O19" s="183">
        <v>0</v>
      </c>
      <c r="P19" s="183">
        <f t="shared" si="4"/>
        <v>0</v>
      </c>
      <c r="Q19" s="624">
        <f ca="1">+V19/$V$51 * $Q$51</f>
        <v>2256.7650651880363</v>
      </c>
      <c r="R19" s="187">
        <f t="shared" ca="1" si="5"/>
        <v>35832.818132629895</v>
      </c>
      <c r="S19" s="187"/>
      <c r="T19" s="190">
        <f t="shared" ca="1" si="6"/>
        <v>539444.96279791568</v>
      </c>
      <c r="V19" s="189">
        <f t="shared" si="7"/>
        <v>33576.053067441855</v>
      </c>
      <c r="W19" s="159" t="str">
        <f t="shared" ref="W19:W25" si="8">A19</f>
        <v>P.002</v>
      </c>
      <c r="X19" s="148" t="s">
        <v>384</v>
      </c>
    </row>
    <row r="20" spans="1:24" ht="2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621">
        <f t="shared" ca="1" si="0"/>
        <v>1239732.4037197519</v>
      </c>
      <c r="F20" s="183">
        <f t="shared" ca="1" si="1"/>
        <v>0</v>
      </c>
      <c r="G20" s="183">
        <f t="shared" ca="1" si="2"/>
        <v>1239732.4037197519</v>
      </c>
      <c r="H20" s="184"/>
      <c r="I20" s="186">
        <v>75252.094974457752</v>
      </c>
      <c r="J20" s="186">
        <v>1178453.2759963626</v>
      </c>
      <c r="K20" s="186">
        <v>1176190.5266578903</v>
      </c>
      <c r="L20" s="182">
        <f t="shared" si="3"/>
        <v>2262.749338472262</v>
      </c>
      <c r="M20" s="182"/>
      <c r="N20" s="183">
        <v>0</v>
      </c>
      <c r="O20" s="183">
        <v>0</v>
      </c>
      <c r="P20" s="183">
        <f t="shared" si="4"/>
        <v>0</v>
      </c>
      <c r="Q20" s="624">
        <f ca="1">+V20/$V$51 * $Q$51</f>
        <v>5210.0463484357379</v>
      </c>
      <c r="R20" s="187">
        <f t="shared" ca="1" si="5"/>
        <v>82724.890661365745</v>
      </c>
      <c r="S20" s="187"/>
      <c r="T20" s="190">
        <f t="shared" ca="1" si="6"/>
        <v>1322457.2943811177</v>
      </c>
      <c r="V20" s="189">
        <f t="shared" si="7"/>
        <v>77514.844312930014</v>
      </c>
      <c r="W20" s="159" t="str">
        <f t="shared" si="8"/>
        <v>P.003</v>
      </c>
      <c r="X20" s="148" t="s">
        <v>385</v>
      </c>
    </row>
    <row r="21" spans="1:24" ht="2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621">
        <f t="shared" ca="1" si="0"/>
        <v>1546298.0974358974</v>
      </c>
      <c r="F21" s="183">
        <f t="shared" ca="1" si="1"/>
        <v>0</v>
      </c>
      <c r="G21" s="183">
        <f t="shared" ca="1" si="2"/>
        <v>1546298.0974358974</v>
      </c>
      <c r="H21" s="184"/>
      <c r="I21" s="186">
        <v>83445.421236010501</v>
      </c>
      <c r="J21" s="186">
        <v>1456052.4710588835</v>
      </c>
      <c r="K21" s="186">
        <v>1453256.7032225356</v>
      </c>
      <c r="L21" s="182">
        <f t="shared" si="3"/>
        <v>2795.7678363479208</v>
      </c>
      <c r="M21" s="182"/>
      <c r="N21" s="183">
        <v>0</v>
      </c>
      <c r="O21" s="183">
        <v>0</v>
      </c>
      <c r="P21" s="183">
        <f t="shared" si="4"/>
        <v>0</v>
      </c>
      <c r="Q21" s="624">
        <f ca="1">+V21/$V$51 * $Q$51</f>
        <v>5796.574787627449</v>
      </c>
      <c r="R21" s="187">
        <f t="shared" ca="1" si="5"/>
        <v>92037.763859985876</v>
      </c>
      <c r="S21" s="187"/>
      <c r="T21" s="190">
        <f t="shared" ca="1" si="6"/>
        <v>1638335.8612958833</v>
      </c>
      <c r="V21" s="189">
        <f t="shared" si="7"/>
        <v>86241.189072358422</v>
      </c>
      <c r="W21" s="159" t="str">
        <f t="shared" si="8"/>
        <v>P.004</v>
      </c>
      <c r="X21" s="148" t="s">
        <v>386</v>
      </c>
    </row>
    <row r="22" spans="1:24" ht="1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621">
        <f t="shared" ca="1" si="0"/>
        <v>39228.598463176066</v>
      </c>
      <c r="F22" s="183">
        <f t="shared" ca="1" si="1"/>
        <v>0</v>
      </c>
      <c r="G22" s="183">
        <f t="shared" ca="1" si="2"/>
        <v>39228.598463176066</v>
      </c>
      <c r="H22" s="184"/>
      <c r="I22" s="186">
        <v>2428.2641372449725</v>
      </c>
      <c r="J22" s="186">
        <v>37473.160696146493</v>
      </c>
      <c r="K22" s="186">
        <v>37401.208442032745</v>
      </c>
      <c r="L22" s="182">
        <f t="shared" si="3"/>
        <v>71.952254113748495</v>
      </c>
      <c r="M22" s="182"/>
      <c r="N22" s="183">
        <v>0</v>
      </c>
      <c r="O22" s="183">
        <v>0</v>
      </c>
      <c r="P22" s="183">
        <f t="shared" si="4"/>
        <v>0</v>
      </c>
      <c r="Q22" s="624">
        <f t="shared" ref="Q22:Q44" ca="1" si="9">+V22/$V$51 * $Q$51</f>
        <v>168.04837054835977</v>
      </c>
      <c r="R22" s="187">
        <f t="shared" ca="1" si="5"/>
        <v>2668.2647619070808</v>
      </c>
      <c r="S22" s="187"/>
      <c r="T22" s="190">
        <f t="shared" ca="1" si="6"/>
        <v>41896.863225083143</v>
      </c>
      <c r="V22" s="189">
        <f t="shared" si="7"/>
        <v>2500.216391358721</v>
      </c>
      <c r="W22" s="159" t="str">
        <f t="shared" si="8"/>
        <v>P.005</v>
      </c>
      <c r="X22" s="148" t="s">
        <v>387</v>
      </c>
    </row>
    <row r="23" spans="1:24" ht="1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621">
        <f t="shared" ca="1" si="0"/>
        <v>160484.23733816287</v>
      </c>
      <c r="F23" s="183">
        <f t="shared" ca="1" si="1"/>
        <v>0</v>
      </c>
      <c r="G23" s="183">
        <f t="shared" ca="1" si="2"/>
        <v>160484.23733816287</v>
      </c>
      <c r="H23" s="184"/>
      <c r="I23" s="186">
        <v>9691.1520608828869</v>
      </c>
      <c r="J23" s="186">
        <v>152688.48796992991</v>
      </c>
      <c r="K23" s="186">
        <v>152395.31064827988</v>
      </c>
      <c r="L23" s="182">
        <f t="shared" si="3"/>
        <v>293.17732165002963</v>
      </c>
      <c r="M23" s="182"/>
      <c r="N23" s="183">
        <v>0</v>
      </c>
      <c r="O23" s="183">
        <v>0</v>
      </c>
      <c r="P23" s="183">
        <f t="shared" si="4"/>
        <v>0</v>
      </c>
      <c r="Q23" s="624">
        <f t="shared" ca="1" si="9"/>
        <v>671.08202696045612</v>
      </c>
      <c r="R23" s="187">
        <f t="shared" ca="1" si="5"/>
        <v>10655.411409493372</v>
      </c>
      <c r="S23" s="187"/>
      <c r="T23" s="190">
        <f t="shared" ca="1" si="6"/>
        <v>171139.64874765623</v>
      </c>
      <c r="V23" s="189">
        <f t="shared" si="7"/>
        <v>9984.3293825329165</v>
      </c>
      <c r="W23" s="159" t="str">
        <f t="shared" si="8"/>
        <v>P.006</v>
      </c>
      <c r="X23" s="148" t="s">
        <v>388</v>
      </c>
    </row>
    <row r="24" spans="1:24" ht="1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621">
        <f t="shared" ca="1" si="0"/>
        <v>8867.6018741323824</v>
      </c>
      <c r="F24" s="183">
        <f t="shared" ca="1" si="1"/>
        <v>0</v>
      </c>
      <c r="G24" s="183">
        <f t="shared" ca="1" si="2"/>
        <v>8867.6018741323824</v>
      </c>
      <c r="H24" s="184"/>
      <c r="I24" s="186">
        <v>516.94739965127155</v>
      </c>
      <c r="J24" s="186">
        <v>8416.5752327843857</v>
      </c>
      <c r="K24" s="186">
        <v>8400.4145580863715</v>
      </c>
      <c r="L24" s="182">
        <f t="shared" si="3"/>
        <v>16.160674698014191</v>
      </c>
      <c r="M24" s="182"/>
      <c r="N24" s="183">
        <v>0</v>
      </c>
      <c r="O24" s="183">
        <v>0</v>
      </c>
      <c r="P24" s="183">
        <f t="shared" si="4"/>
        <v>0</v>
      </c>
      <c r="Q24" s="624">
        <f t="shared" ca="1" si="9"/>
        <v>35.832075787602328</v>
      </c>
      <c r="R24" s="187">
        <f t="shared" ca="1" si="5"/>
        <v>568.94015013688806</v>
      </c>
      <c r="S24" s="192" t="s">
        <v>224</v>
      </c>
      <c r="T24" s="190">
        <f t="shared" ca="1" si="6"/>
        <v>9436.5420242692708</v>
      </c>
      <c r="V24" s="189">
        <f t="shared" si="7"/>
        <v>533.10807434928574</v>
      </c>
      <c r="W24" s="159" t="str">
        <f t="shared" si="8"/>
        <v>P.007</v>
      </c>
      <c r="X24" s="148" t="s">
        <v>389</v>
      </c>
    </row>
    <row r="25" spans="1:24" ht="2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621">
        <f t="shared" ca="1" si="0"/>
        <v>5686.7962355511117</v>
      </c>
      <c r="F25" s="183">
        <f t="shared" ca="1" si="1"/>
        <v>0</v>
      </c>
      <c r="G25" s="183">
        <f t="shared" ca="1" si="2"/>
        <v>5686.7962355511117</v>
      </c>
      <c r="H25" s="184"/>
      <c r="I25" s="186">
        <v>412.33739935454378</v>
      </c>
      <c r="J25" s="186">
        <v>5500.0635383819654</v>
      </c>
      <c r="K25" s="186">
        <v>5489.5028607662098</v>
      </c>
      <c r="L25" s="182">
        <f t="shared" si="3"/>
        <v>10.560677615755594</v>
      </c>
      <c r="M25" s="182"/>
      <c r="N25" s="183">
        <v>0</v>
      </c>
      <c r="O25" s="183">
        <v>0</v>
      </c>
      <c r="P25" s="183">
        <f t="shared" si="4"/>
        <v>0</v>
      </c>
      <c r="Q25" s="624">
        <f t="shared" ca="1" si="9"/>
        <v>28.424472773043743</v>
      </c>
      <c r="R25" s="187">
        <f t="shared" ca="1" si="5"/>
        <v>451.32254974334313</v>
      </c>
      <c r="S25" s="192" t="s">
        <v>224</v>
      </c>
      <c r="T25" s="190">
        <f t="shared" ca="1" si="6"/>
        <v>6138.1187852944549</v>
      </c>
      <c r="V25" s="189">
        <f>+I25+L25+P25</f>
        <v>422.89807697029937</v>
      </c>
      <c r="W25" s="159" t="str">
        <f t="shared" si="8"/>
        <v>P.008</v>
      </c>
      <c r="X25" s="148" t="s">
        <v>390</v>
      </c>
    </row>
    <row r="26" spans="1:24" ht="1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621">
        <f t="shared" ca="1" si="0"/>
        <v>7517.475137068097</v>
      </c>
      <c r="F26" s="183">
        <f t="shared" ca="1" si="1"/>
        <v>0</v>
      </c>
      <c r="G26" s="183">
        <f t="shared" ca="1" si="2"/>
        <v>7517.475137068097</v>
      </c>
      <c r="H26" s="184"/>
      <c r="I26" s="186">
        <v>537.50332702089963</v>
      </c>
      <c r="J26" s="186">
        <v>7253.6582297390214</v>
      </c>
      <c r="K26" s="186">
        <v>7239.7304731659242</v>
      </c>
      <c r="L26" s="182">
        <f t="shared" si="3"/>
        <v>13.927756573097213</v>
      </c>
      <c r="M26" s="182"/>
      <c r="N26" s="183">
        <v>0</v>
      </c>
      <c r="O26" s="183">
        <v>0</v>
      </c>
      <c r="P26" s="183">
        <f t="shared" si="4"/>
        <v>0</v>
      </c>
      <c r="Q26" s="624">
        <f t="shared" ca="1" si="9"/>
        <v>37.063629927379367</v>
      </c>
      <c r="R26" s="187">
        <f t="shared" ca="1" si="5"/>
        <v>588.49471352137618</v>
      </c>
      <c r="S26" s="192" t="s">
        <v>224</v>
      </c>
      <c r="T26" s="190">
        <f t="shared" ca="1" si="6"/>
        <v>8105.969850589473</v>
      </c>
      <c r="V26" s="189">
        <f t="shared" si="7"/>
        <v>551.43108359399685</v>
      </c>
      <c r="W26" s="159" t="str">
        <f t="shared" ref="W26:W31" si="10">A26</f>
        <v>P.009</v>
      </c>
      <c r="X26" s="148" t="s">
        <v>391</v>
      </c>
    </row>
    <row r="27" spans="1:24" ht="1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621">
        <f t="shared" ca="1" si="0"/>
        <v>10616.051282051281</v>
      </c>
      <c r="F27" s="183">
        <f t="shared" ca="1" si="1"/>
        <v>0</v>
      </c>
      <c r="G27" s="183">
        <f t="shared" ca="1" si="2"/>
        <v>10616.051282051281</v>
      </c>
      <c r="H27" s="184"/>
      <c r="I27" s="186">
        <v>674.690546915288</v>
      </c>
      <c r="J27" s="186">
        <v>10117.388054863901</v>
      </c>
      <c r="K27" s="186">
        <v>10097.961647729637</v>
      </c>
      <c r="L27" s="182">
        <f t="shared" si="3"/>
        <v>19.426407134264082</v>
      </c>
      <c r="M27" s="182"/>
      <c r="N27" s="183">
        <v>0</v>
      </c>
      <c r="O27" s="183">
        <v>0</v>
      </c>
      <c r="P27" s="183">
        <f t="shared" ref="P27:P33" si="11">+N27-O27</f>
        <v>0</v>
      </c>
      <c r="Q27" s="624">
        <f t="shared" ca="1" si="9"/>
        <v>46.654051025810652</v>
      </c>
      <c r="R27" s="187">
        <f t="shared" ca="1" si="5"/>
        <v>740.77100507536272</v>
      </c>
      <c r="S27" s="187"/>
      <c r="T27" s="190">
        <f t="shared" ca="1" si="6"/>
        <v>11356.822287126644</v>
      </c>
      <c r="V27" s="189">
        <f t="shared" si="7"/>
        <v>694.11695404955208</v>
      </c>
      <c r="W27" s="159" t="str">
        <f t="shared" si="10"/>
        <v>P.010</v>
      </c>
      <c r="X27" s="148" t="s">
        <v>392</v>
      </c>
    </row>
    <row r="28" spans="1:24" ht="1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621">
        <f t="shared" ca="1" si="0"/>
        <v>157566.55435897436</v>
      </c>
      <c r="F28" s="183">
        <f t="shared" ca="1" si="1"/>
        <v>0</v>
      </c>
      <c r="G28" s="183">
        <f t="shared" ref="G28:G33" ca="1" si="12">+E28+F28</f>
        <v>157566.55435897436</v>
      </c>
      <c r="H28" s="184"/>
      <c r="I28" s="186">
        <v>9590.631973143958</v>
      </c>
      <c r="J28" s="186">
        <v>149539.86171467142</v>
      </c>
      <c r="K28" s="186">
        <v>149252.73007350895</v>
      </c>
      <c r="L28" s="182">
        <f t="shared" ref="L28:L33" si="13">+J28-K28</f>
        <v>287.13164116247208</v>
      </c>
      <c r="M28" s="182"/>
      <c r="N28" s="183">
        <v>0</v>
      </c>
      <c r="O28" s="183">
        <v>0</v>
      </c>
      <c r="P28" s="183">
        <f t="shared" si="11"/>
        <v>0</v>
      </c>
      <c r="Q28" s="624">
        <f t="shared" ca="1" si="9"/>
        <v>663.91936545300041</v>
      </c>
      <c r="R28" s="187">
        <f t="shared" ref="R28:R33" ca="1" si="14">I28+L28+P28+Q28</f>
        <v>10541.682979759431</v>
      </c>
      <c r="S28" s="187"/>
      <c r="T28" s="190">
        <f t="shared" ref="T28:T33" ca="1" si="15">+G28+R28</f>
        <v>168108.2373387338</v>
      </c>
      <c r="V28" s="189">
        <f t="shared" ref="V28:V33" si="16">+I28+L28+P28</f>
        <v>9877.7636143064301</v>
      </c>
      <c r="W28" s="159" t="str">
        <f t="shared" si="10"/>
        <v>P.011</v>
      </c>
      <c r="X28" s="148" t="s">
        <v>393</v>
      </c>
    </row>
    <row r="29" spans="1:24" ht="2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621">
        <f t="shared" ca="1" si="0"/>
        <v>385776.25641025638</v>
      </c>
      <c r="F29" s="183">
        <f t="shared" ca="1" si="1"/>
        <v>0</v>
      </c>
      <c r="G29" s="183">
        <f t="shared" ca="1" si="12"/>
        <v>385776.25641025638</v>
      </c>
      <c r="H29" s="184"/>
      <c r="I29" s="186">
        <v>22008.252704819373</v>
      </c>
      <c r="J29" s="186">
        <v>362861.97073512845</v>
      </c>
      <c r="K29" s="186">
        <v>362165.23909462831</v>
      </c>
      <c r="L29" s="182">
        <f t="shared" si="13"/>
        <v>696.73164050013293</v>
      </c>
      <c r="M29" s="182"/>
      <c r="N29" s="183">
        <v>0</v>
      </c>
      <c r="O29" s="183">
        <v>0</v>
      </c>
      <c r="P29" s="183">
        <f t="shared" si="11"/>
        <v>0</v>
      </c>
      <c r="Q29" s="624">
        <f t="shared" ca="1" si="9"/>
        <v>1526.0821566262273</v>
      </c>
      <c r="R29" s="187">
        <f t="shared" ca="1" si="14"/>
        <v>24231.066501945734</v>
      </c>
      <c r="S29" s="187"/>
      <c r="T29" s="190">
        <f t="shared" ca="1" si="15"/>
        <v>410007.3229122021</v>
      </c>
      <c r="V29" s="189">
        <f t="shared" si="16"/>
        <v>22704.984345319506</v>
      </c>
      <c r="W29" s="159" t="str">
        <f t="shared" si="10"/>
        <v>P.012</v>
      </c>
      <c r="X29" s="148" t="s">
        <v>394</v>
      </c>
    </row>
    <row r="30" spans="1:24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621">
        <f t="shared" ca="1" si="0"/>
        <v>2539.5897435897436</v>
      </c>
      <c r="F30" s="183">
        <f t="shared" ca="1" si="1"/>
        <v>0</v>
      </c>
      <c r="G30" s="183">
        <f t="shared" ca="1" si="12"/>
        <v>2539.5897435897436</v>
      </c>
      <c r="H30" s="184"/>
      <c r="I30" s="186">
        <v>152.10730133923198</v>
      </c>
      <c r="J30" s="186">
        <v>2404.5914066676796</v>
      </c>
      <c r="K30" s="186">
        <v>2399.974348252586</v>
      </c>
      <c r="L30" s="182">
        <f t="shared" si="13"/>
        <v>4.617058415093652</v>
      </c>
      <c r="M30" s="182"/>
      <c r="N30" s="183">
        <v>0</v>
      </c>
      <c r="O30" s="183">
        <v>0</v>
      </c>
      <c r="P30" s="183">
        <f t="shared" si="11"/>
        <v>0</v>
      </c>
      <c r="Q30" s="624">
        <f t="shared" ca="1" si="9"/>
        <v>10.533997526364747</v>
      </c>
      <c r="R30" s="187">
        <f t="shared" ca="1" si="14"/>
        <v>167.25835728069038</v>
      </c>
      <c r="S30" s="187"/>
      <c r="T30" s="190">
        <f t="shared" ca="1" si="15"/>
        <v>2706.8481008704339</v>
      </c>
      <c r="V30" s="189">
        <f t="shared" si="16"/>
        <v>156.72435975432563</v>
      </c>
      <c r="W30" s="159" t="str">
        <f t="shared" si="10"/>
        <v>P.013</v>
      </c>
      <c r="X30" s="148" t="s">
        <v>395</v>
      </c>
    </row>
    <row r="31" spans="1:24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621">
        <f t="shared" ca="1" si="0"/>
        <v>111138.61538461538</v>
      </c>
      <c r="F31" s="183">
        <f t="shared" ca="1" si="1"/>
        <v>0</v>
      </c>
      <c r="G31" s="183">
        <f t="shared" ca="1" si="12"/>
        <v>111138.61538461538</v>
      </c>
      <c r="H31" s="184"/>
      <c r="I31" s="186">
        <v>15478.771753945693</v>
      </c>
      <c r="J31" s="186">
        <v>116025.11350433659</v>
      </c>
      <c r="K31" s="186">
        <v>115802.33356543224</v>
      </c>
      <c r="L31" s="182">
        <f t="shared" si="13"/>
        <v>222.77993890435027</v>
      </c>
      <c r="M31" s="182"/>
      <c r="N31" s="183">
        <v>0</v>
      </c>
      <c r="O31" s="183">
        <v>0</v>
      </c>
      <c r="P31" s="183">
        <f t="shared" si="11"/>
        <v>0</v>
      </c>
      <c r="Q31" s="624">
        <f t="shared" ca="1" si="9"/>
        <v>1055.3567227956437</v>
      </c>
      <c r="R31" s="187">
        <f t="shared" ca="1" si="14"/>
        <v>16756.908415645688</v>
      </c>
      <c r="S31" s="187"/>
      <c r="T31" s="190">
        <f t="shared" ca="1" si="15"/>
        <v>127895.52380026106</v>
      </c>
      <c r="V31" s="189">
        <f t="shared" si="16"/>
        <v>15701.551692850044</v>
      </c>
      <c r="W31" s="159" t="str">
        <f t="shared" si="10"/>
        <v>P.014</v>
      </c>
      <c r="X31" s="148" t="s">
        <v>396</v>
      </c>
    </row>
    <row r="32" spans="1:24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621">
        <f t="shared" ca="1" si="0"/>
        <v>266683.87179487181</v>
      </c>
      <c r="F32" s="183">
        <f t="shared" ca="1" si="1"/>
        <v>0</v>
      </c>
      <c r="G32" s="183">
        <f t="shared" ca="1" si="12"/>
        <v>266683.87179487181</v>
      </c>
      <c r="H32" s="184"/>
      <c r="I32" s="186">
        <v>15979.711180726415</v>
      </c>
      <c r="J32" s="186">
        <v>252141.77551747943</v>
      </c>
      <c r="K32" s="186">
        <v>251657.63783686495</v>
      </c>
      <c r="L32" s="182">
        <f t="shared" si="13"/>
        <v>484.13768061448354</v>
      </c>
      <c r="M32" s="182"/>
      <c r="N32" s="183">
        <v>0</v>
      </c>
      <c r="O32" s="183">
        <v>0</v>
      </c>
      <c r="P32" s="183">
        <f t="shared" si="11"/>
        <v>0</v>
      </c>
      <c r="Q32" s="624">
        <f t="shared" ca="1" si="9"/>
        <v>1106.5934067407882</v>
      </c>
      <c r="R32" s="187">
        <f t="shared" ca="1" si="14"/>
        <v>17570.442268081686</v>
      </c>
      <c r="S32" s="187"/>
      <c r="T32" s="190">
        <f t="shared" ca="1" si="15"/>
        <v>284254.31406295352</v>
      </c>
      <c r="V32" s="189">
        <f t="shared" si="16"/>
        <v>16463.848861340899</v>
      </c>
      <c r="W32" s="159" t="str">
        <f t="shared" ref="W32:W39" si="17">A32</f>
        <v>P.015</v>
      </c>
      <c r="X32" s="148" t="s">
        <v>397</v>
      </c>
    </row>
    <row r="33" spans="1:24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621">
        <f t="shared" ca="1" si="0"/>
        <v>609862.07794871787</v>
      </c>
      <c r="F33" s="183">
        <f t="shared" ca="1" si="1"/>
        <v>0</v>
      </c>
      <c r="G33" s="183">
        <f t="shared" ca="1" si="12"/>
        <v>609862.07794871787</v>
      </c>
      <c r="H33" s="184"/>
      <c r="I33" s="186">
        <v>36778.41859738261</v>
      </c>
      <c r="J33" s="186">
        <v>576467.41486652626</v>
      </c>
      <c r="K33" s="186">
        <v>575360.53919465269</v>
      </c>
      <c r="L33" s="182">
        <f t="shared" si="13"/>
        <v>1106.8756718735676</v>
      </c>
      <c r="M33" s="182"/>
      <c r="N33" s="183">
        <v>0</v>
      </c>
      <c r="O33" s="183">
        <v>0</v>
      </c>
      <c r="P33" s="183">
        <f t="shared" si="11"/>
        <v>0</v>
      </c>
      <c r="Q33" s="624">
        <f t="shared" ca="1" si="9"/>
        <v>2546.4043799159963</v>
      </c>
      <c r="R33" s="187">
        <f t="shared" ca="1" si="14"/>
        <v>40431.698649172176</v>
      </c>
      <c r="S33" s="187"/>
      <c r="T33" s="190">
        <f t="shared" ca="1" si="15"/>
        <v>650293.77659789007</v>
      </c>
      <c r="V33" s="189">
        <f t="shared" si="16"/>
        <v>37885.294269256177</v>
      </c>
      <c r="W33" s="159" t="str">
        <f t="shared" si="17"/>
        <v>P.016</v>
      </c>
      <c r="X33" s="148" t="s">
        <v>398</v>
      </c>
    </row>
    <row r="34" spans="1:24" ht="1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621">
        <f t="shared" ca="1" si="0"/>
        <v>207843.2094871795</v>
      </c>
      <c r="F34" s="183">
        <f t="shared" ca="1" si="1"/>
        <v>0</v>
      </c>
      <c r="G34" s="183">
        <f t="shared" ref="G34:G39" ca="1" si="18">+E34+F34</f>
        <v>207843.2094871795</v>
      </c>
      <c r="H34" s="184"/>
      <c r="I34" s="186">
        <v>12505.932948887203</v>
      </c>
      <c r="J34" s="186">
        <v>196256.22111283179</v>
      </c>
      <c r="K34" s="186">
        <v>195879.38934229029</v>
      </c>
      <c r="L34" s="182">
        <f t="shared" ref="L34:L39" si="19">+J34-K34</f>
        <v>376.83177054149564</v>
      </c>
      <c r="M34" s="182"/>
      <c r="N34" s="183">
        <v>0</v>
      </c>
      <c r="O34" s="183">
        <v>0</v>
      </c>
      <c r="P34" s="183">
        <f t="shared" ref="P34:P39" si="20">+N34-O34</f>
        <v>0</v>
      </c>
      <c r="Q34" s="624">
        <f t="shared" ca="1" si="9"/>
        <v>865.89609872982987</v>
      </c>
      <c r="R34" s="187">
        <f t="shared" ref="R34:R39" ca="1" si="21">I34+L34+P34+Q34</f>
        <v>13748.660818158529</v>
      </c>
      <c r="S34" s="187"/>
      <c r="T34" s="190">
        <f t="shared" ref="T34:T39" ca="1" si="22">+G34+R34</f>
        <v>221591.87030533803</v>
      </c>
      <c r="U34" s="195"/>
      <c r="V34" s="189">
        <f t="shared" ref="V34:V39" si="23">+I34+L34+P34</f>
        <v>12882.764719428698</v>
      </c>
      <c r="W34" s="159" t="str">
        <f t="shared" si="17"/>
        <v>P.017</v>
      </c>
      <c r="X34" s="148" t="s">
        <v>265</v>
      </c>
    </row>
    <row r="35" spans="1:24" ht="1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621">
        <f t="shared" ca="1" si="0"/>
        <v>205572.35897435897</v>
      </c>
      <c r="F35" s="183">
        <f t="shared" ca="1" si="1"/>
        <v>0</v>
      </c>
      <c r="G35" s="196">
        <f t="shared" ca="1" si="18"/>
        <v>205572.35897435897</v>
      </c>
      <c r="H35" s="197"/>
      <c r="I35" s="186">
        <v>14808.997794924479</v>
      </c>
      <c r="J35" s="186">
        <v>197147.96300340607</v>
      </c>
      <c r="K35" s="186">
        <v>196769.41899834998</v>
      </c>
      <c r="L35" s="198">
        <f t="shared" si="19"/>
        <v>378.54400505608646</v>
      </c>
      <c r="M35" s="198"/>
      <c r="N35" s="196">
        <v>0</v>
      </c>
      <c r="O35" s="196">
        <v>0</v>
      </c>
      <c r="P35" s="196">
        <f t="shared" si="20"/>
        <v>0</v>
      </c>
      <c r="Q35" s="624">
        <f t="shared" ca="1" si="9"/>
        <v>1020.8083032104447</v>
      </c>
      <c r="R35" s="199">
        <f t="shared" ca="1" si="21"/>
        <v>16208.350103191009</v>
      </c>
      <c r="S35" s="199"/>
      <c r="T35" s="200">
        <f t="shared" ca="1" si="22"/>
        <v>221780.70907754998</v>
      </c>
      <c r="U35" s="195"/>
      <c r="V35" s="189">
        <f t="shared" si="23"/>
        <v>15187.541799980565</v>
      </c>
      <c r="W35" s="159" t="str">
        <f t="shared" si="17"/>
        <v>P.018</v>
      </c>
      <c r="X35" s="148" t="s">
        <v>266</v>
      </c>
    </row>
    <row r="36" spans="1:24" ht="1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621">
        <f t="shared" ca="1" si="0"/>
        <v>170622.90008256794</v>
      </c>
      <c r="F36" s="183">
        <f t="shared" ca="1" si="1"/>
        <v>0</v>
      </c>
      <c r="G36" s="196">
        <f t="shared" ca="1" si="18"/>
        <v>170622.90008256794</v>
      </c>
      <c r="H36" s="197"/>
      <c r="I36" s="186">
        <v>8656.3517078839359</v>
      </c>
      <c r="J36" s="186">
        <v>160652.559032005</v>
      </c>
      <c r="K36" s="186">
        <v>160344.08988937715</v>
      </c>
      <c r="L36" s="198">
        <f t="shared" si="19"/>
        <v>308.46914262784412</v>
      </c>
      <c r="M36" s="198"/>
      <c r="N36" s="196">
        <v>0</v>
      </c>
      <c r="O36" s="196">
        <v>0</v>
      </c>
      <c r="P36" s="196">
        <f t="shared" si="20"/>
        <v>0</v>
      </c>
      <c r="Q36" s="624">
        <f t="shared" ca="1" si="9"/>
        <v>602.55725920097586</v>
      </c>
      <c r="R36" s="199">
        <f t="shared" ca="1" si="21"/>
        <v>9567.3781097127558</v>
      </c>
      <c r="S36" s="199"/>
      <c r="T36" s="200">
        <f t="shared" ca="1" si="22"/>
        <v>180190.2781922807</v>
      </c>
      <c r="U36" s="195"/>
      <c r="V36" s="189">
        <f t="shared" si="23"/>
        <v>8964.82085051178</v>
      </c>
      <c r="W36" s="159" t="str">
        <f t="shared" si="17"/>
        <v>P.019</v>
      </c>
      <c r="X36" s="148" t="s">
        <v>281</v>
      </c>
    </row>
    <row r="37" spans="1:24" ht="1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621">
        <f t="shared" ca="1" si="0"/>
        <v>260241.05207749119</v>
      </c>
      <c r="F37" s="183">
        <f t="shared" ca="1" si="1"/>
        <v>0</v>
      </c>
      <c r="G37" s="183">
        <f t="shared" ca="1" si="18"/>
        <v>260241.05207749119</v>
      </c>
      <c r="H37" s="184"/>
      <c r="I37" s="186">
        <v>12179.120113032724</v>
      </c>
      <c r="J37" s="186">
        <v>365467.32420262514</v>
      </c>
      <c r="K37" s="186">
        <v>364765.59002027195</v>
      </c>
      <c r="L37" s="198">
        <f t="shared" si="19"/>
        <v>701.73418235318968</v>
      </c>
      <c r="M37" s="198"/>
      <c r="N37" s="196">
        <v>0</v>
      </c>
      <c r="O37" s="196">
        <v>0</v>
      </c>
      <c r="P37" s="196">
        <f t="shared" si="20"/>
        <v>0</v>
      </c>
      <c r="Q37" s="624">
        <f t="shared" ca="1" si="9"/>
        <v>865.76769238526072</v>
      </c>
      <c r="R37" s="199">
        <f t="shared" ca="1" si="21"/>
        <v>13746.621987771176</v>
      </c>
      <c r="S37" s="199"/>
      <c r="T37" s="200">
        <f t="shared" ca="1" si="22"/>
        <v>273987.67406526237</v>
      </c>
      <c r="U37" s="195"/>
      <c r="V37" s="189">
        <f t="shared" si="23"/>
        <v>12880.854295385914</v>
      </c>
      <c r="W37" s="159" t="str">
        <f t="shared" si="17"/>
        <v>P.020</v>
      </c>
      <c r="X37" s="148" t="s">
        <v>282</v>
      </c>
    </row>
    <row r="38" spans="1:24" ht="1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621">
        <f t="shared" ca="1" si="0"/>
        <v>42854.492332323091</v>
      </c>
      <c r="F38" s="183">
        <f t="shared" ca="1" si="1"/>
        <v>0</v>
      </c>
      <c r="G38" s="183">
        <f t="shared" ca="1" si="18"/>
        <v>42854.492332323091</v>
      </c>
      <c r="H38" s="184"/>
      <c r="I38" s="186">
        <v>1718.4547619221703</v>
      </c>
      <c r="J38" s="186">
        <v>50266.302044528493</v>
      </c>
      <c r="K38" s="186">
        <v>50169.785666649579</v>
      </c>
      <c r="L38" s="198">
        <f t="shared" si="19"/>
        <v>96.516377878913772</v>
      </c>
      <c r="M38" s="198"/>
      <c r="N38" s="196">
        <v>0</v>
      </c>
      <c r="O38" s="196">
        <v>0</v>
      </c>
      <c r="P38" s="196">
        <f t="shared" si="20"/>
        <v>0</v>
      </c>
      <c r="Q38" s="624">
        <f t="shared" ca="1" si="9"/>
        <v>121.99061796811925</v>
      </c>
      <c r="R38" s="199">
        <f t="shared" ca="1" si="21"/>
        <v>1936.9617577692034</v>
      </c>
      <c r="S38" s="199"/>
      <c r="T38" s="200">
        <f t="shared" ca="1" si="22"/>
        <v>44791.454090092295</v>
      </c>
      <c r="U38" s="195"/>
      <c r="V38" s="189">
        <f t="shared" si="23"/>
        <v>1814.9711398010841</v>
      </c>
      <c r="W38" s="159" t="str">
        <f t="shared" si="17"/>
        <v>P.021</v>
      </c>
      <c r="X38" s="148" t="s">
        <v>279</v>
      </c>
    </row>
    <row r="39" spans="1:24" ht="1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621">
        <f t="shared" ca="1" si="0"/>
        <v>31890.799977104634</v>
      </c>
      <c r="F39" s="183">
        <f t="shared" ca="1" si="1"/>
        <v>0</v>
      </c>
      <c r="G39" s="183">
        <f t="shared" ca="1" si="18"/>
        <v>31890.799977104634</v>
      </c>
      <c r="H39" s="184"/>
      <c r="I39" s="186">
        <v>1631.6116060770219</v>
      </c>
      <c r="J39" s="186">
        <v>29990.099033273476</v>
      </c>
      <c r="K39" s="186">
        <v>29932.515013499011</v>
      </c>
      <c r="L39" s="198">
        <f t="shared" si="19"/>
        <v>57.58401977446556</v>
      </c>
      <c r="M39" s="198"/>
      <c r="N39" s="196">
        <v>0</v>
      </c>
      <c r="O39" s="196">
        <v>0</v>
      </c>
      <c r="P39" s="196">
        <f t="shared" si="20"/>
        <v>0</v>
      </c>
      <c r="Q39" s="624">
        <f t="shared" ca="1" si="9"/>
        <v>113.53680163159575</v>
      </c>
      <c r="R39" s="199">
        <f t="shared" ca="1" si="21"/>
        <v>1802.7324274830833</v>
      </c>
      <c r="S39" s="199"/>
      <c r="T39" s="200">
        <f t="shared" ca="1" si="22"/>
        <v>33693.532404587721</v>
      </c>
      <c r="U39" s="195"/>
      <c r="V39" s="189">
        <f t="shared" si="23"/>
        <v>1689.1956258514874</v>
      </c>
      <c r="W39" s="159" t="str">
        <f t="shared" si="17"/>
        <v>P.022</v>
      </c>
      <c r="X39" s="148" t="s">
        <v>280</v>
      </c>
    </row>
    <row r="40" spans="1:24" ht="13">
      <c r="A40" s="194" t="s">
        <v>309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621">
        <f t="shared" ca="1" si="0"/>
        <v>148802.48155476435</v>
      </c>
      <c r="F40" s="183">
        <f t="shared" ca="1" si="1"/>
        <v>0</v>
      </c>
      <c r="G40" s="183">
        <f t="shared" ref="G40:G45" ca="1" si="24">+E40+F40</f>
        <v>148802.48155476435</v>
      </c>
      <c r="H40" s="184"/>
      <c r="I40" s="186">
        <v>8752.2860976976517</v>
      </c>
      <c r="J40" s="186">
        <v>21232.901333082526</v>
      </c>
      <c r="K40" s="186">
        <v>21192.132017553526</v>
      </c>
      <c r="L40" s="198">
        <f t="shared" ref="L40:L45" si="25">+J40-K40</f>
        <v>40.769315528999869</v>
      </c>
      <c r="M40" s="198"/>
      <c r="N40" s="196">
        <v>0</v>
      </c>
      <c r="O40" s="196">
        <v>0</v>
      </c>
      <c r="P40" s="196">
        <f t="shared" ref="P40:P45" si="26">+N40-O40</f>
        <v>0</v>
      </c>
      <c r="Q40" s="624">
        <f t="shared" ca="1" si="9"/>
        <v>591.01229775201671</v>
      </c>
      <c r="R40" s="199">
        <f t="shared" ref="R40:R45" ca="1" si="27">I40+L40+P40+Q40</f>
        <v>9384.0677109786684</v>
      </c>
      <c r="S40" s="199"/>
      <c r="T40" s="200">
        <f t="shared" ref="T40:T48" ca="1" si="28">+G40+R40</f>
        <v>158186.54926574303</v>
      </c>
      <c r="U40" s="195"/>
      <c r="V40" s="189">
        <f t="shared" ref="V40:V48" si="29">+I40+L40+P40</f>
        <v>8793.0554132266516</v>
      </c>
      <c r="W40" s="159" t="str">
        <f>A40</f>
        <v>P.023</v>
      </c>
      <c r="X40" s="148" t="s">
        <v>399</v>
      </c>
    </row>
    <row r="41" spans="1:24" ht="13">
      <c r="A41" s="194" t="s">
        <v>310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621">
        <f t="shared" ca="1" si="0"/>
        <v>176400.42982895498</v>
      </c>
      <c r="F41" s="183">
        <f t="shared" ca="1" si="1"/>
        <v>0</v>
      </c>
      <c r="G41" s="183">
        <f t="shared" ca="1" si="24"/>
        <v>176400.42982895498</v>
      </c>
      <c r="H41" s="184"/>
      <c r="I41" s="186">
        <v>8532.2918975272623</v>
      </c>
      <c r="J41" s="186">
        <v>177498.85602714799</v>
      </c>
      <c r="K41" s="186">
        <v>177158.04029245931</v>
      </c>
      <c r="L41" s="198">
        <f t="shared" si="25"/>
        <v>340.81573468868737</v>
      </c>
      <c r="M41" s="198"/>
      <c r="N41" s="196">
        <v>0</v>
      </c>
      <c r="O41" s="196">
        <v>0</v>
      </c>
      <c r="P41" s="196">
        <f t="shared" si="26"/>
        <v>0</v>
      </c>
      <c r="Q41" s="624">
        <f t="shared" ca="1" si="9"/>
        <v>596.39289001052168</v>
      </c>
      <c r="R41" s="199">
        <f t="shared" ca="1" si="27"/>
        <v>9469.5005222264717</v>
      </c>
      <c r="S41" s="199"/>
      <c r="T41" s="200">
        <f t="shared" ca="1" si="28"/>
        <v>185869.93035118145</v>
      </c>
      <c r="U41" s="195"/>
      <c r="V41" s="189">
        <f t="shared" si="29"/>
        <v>8873.1076322159497</v>
      </c>
      <c r="W41" s="159" t="str">
        <f>A41</f>
        <v>P.024</v>
      </c>
      <c r="X41" s="148" t="s">
        <v>400</v>
      </c>
    </row>
    <row r="42" spans="1:24" ht="13">
      <c r="A42" s="194" t="s">
        <v>322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621">
        <f t="shared" ca="1" si="0"/>
        <v>36192.287124459006</v>
      </c>
      <c r="F42" s="183">
        <f t="shared" ca="1" si="1"/>
        <v>0</v>
      </c>
      <c r="G42" s="183">
        <f t="shared" ca="1" si="24"/>
        <v>36192.287124459006</v>
      </c>
      <c r="H42" s="197"/>
      <c r="I42" s="186">
        <v>3324.5989954473043</v>
      </c>
      <c r="J42" s="186">
        <v>4555.4662694117615</v>
      </c>
      <c r="K42" s="186">
        <v>4546.7193139766132</v>
      </c>
      <c r="L42" s="198">
        <f t="shared" si="25"/>
        <v>8.7469554351482657</v>
      </c>
      <c r="M42" s="198"/>
      <c r="N42" s="196">
        <v>0</v>
      </c>
      <c r="O42" s="196">
        <v>0</v>
      </c>
      <c r="P42" s="196">
        <f t="shared" si="26"/>
        <v>0</v>
      </c>
      <c r="Q42" s="624">
        <f t="shared" ca="1" si="9"/>
        <v>224.04594956493071</v>
      </c>
      <c r="R42" s="199">
        <f t="shared" ca="1" si="27"/>
        <v>3557.3919004473833</v>
      </c>
      <c r="S42" s="199"/>
      <c r="T42" s="200">
        <f t="shared" ca="1" si="28"/>
        <v>39749.679024906392</v>
      </c>
      <c r="U42" s="195"/>
      <c r="V42" s="189">
        <f t="shared" si="29"/>
        <v>3333.3459508824526</v>
      </c>
      <c r="W42" s="159" t="str">
        <f>A42</f>
        <v>P.025</v>
      </c>
      <c r="X42" s="148" t="s">
        <v>320</v>
      </c>
    </row>
    <row r="43" spans="1:24" ht="13">
      <c r="A43" s="194" t="s">
        <v>330</v>
      </c>
      <c r="B43" s="156" t="s">
        <v>117</v>
      </c>
      <c r="C43" s="617" t="str">
        <f t="shared" ca="1" si="0"/>
        <v>Tulsa Southeast - E. 61st St 138 kV Rebuild</v>
      </c>
      <c r="D43" s="181">
        <f t="shared" ca="1" si="0"/>
        <v>2019</v>
      </c>
      <c r="E43" s="621">
        <f t="shared" ca="1" si="0"/>
        <v>1099277.167336459</v>
      </c>
      <c r="F43" s="183">
        <f t="shared" ca="1" si="1"/>
        <v>0</v>
      </c>
      <c r="G43" s="183">
        <f t="shared" ca="1" si="24"/>
        <v>1099277.167336459</v>
      </c>
      <c r="H43" s="197"/>
      <c r="I43" s="186">
        <v>-110210.93465632759</v>
      </c>
      <c r="J43" s="186">
        <v>1276927.87639783</v>
      </c>
      <c r="K43" s="186">
        <v>1274476.0458785817</v>
      </c>
      <c r="L43" s="198">
        <f t="shared" si="25"/>
        <v>2451.8305192482658</v>
      </c>
      <c r="M43" s="198"/>
      <c r="N43" s="196">
        <v>0</v>
      </c>
      <c r="O43" s="196">
        <v>0</v>
      </c>
      <c r="P43" s="196">
        <f t="shared" si="26"/>
        <v>0</v>
      </c>
      <c r="Q43" s="624">
        <f t="shared" ca="1" si="9"/>
        <v>-7242.8698270177156</v>
      </c>
      <c r="R43" s="199">
        <f t="shared" ca="1" si="27"/>
        <v>-115001.97396409704</v>
      </c>
      <c r="S43" s="199"/>
      <c r="T43" s="200">
        <f t="shared" ca="1" si="28"/>
        <v>984275.19337236206</v>
      </c>
      <c r="U43" s="195"/>
      <c r="V43" s="189">
        <f t="shared" si="29"/>
        <v>-107759.10413707932</v>
      </c>
      <c r="W43" s="159" t="str">
        <f>A43</f>
        <v>P.026</v>
      </c>
      <c r="X43" s="148" t="s">
        <v>401</v>
      </c>
    </row>
    <row r="44" spans="1:24" ht="13">
      <c r="A44" s="194" t="s">
        <v>331</v>
      </c>
      <c r="B44" s="156" t="s">
        <v>117</v>
      </c>
      <c r="C44" s="618" t="str">
        <f t="shared" ca="1" si="0"/>
        <v>Broken Arrow North-Lynn Lane East 138 kV</v>
      </c>
      <c r="D44" s="181">
        <f t="shared" ca="1" si="0"/>
        <v>2019</v>
      </c>
      <c r="E44" s="621">
        <f t="shared" ca="1" si="0"/>
        <v>685298.8633650993</v>
      </c>
      <c r="F44" s="183">
        <f t="shared" ca="1" si="1"/>
        <v>0</v>
      </c>
      <c r="G44" s="183">
        <f t="shared" ca="1" si="24"/>
        <v>685298.8633650993</v>
      </c>
      <c r="H44" s="197"/>
      <c r="I44" s="186">
        <v>22232.962295390666</v>
      </c>
      <c r="J44" s="186">
        <v>696004.25348032231</v>
      </c>
      <c r="K44" s="186">
        <v>694667.85500257614</v>
      </c>
      <c r="L44" s="198">
        <f t="shared" si="25"/>
        <v>1336.3984777461737</v>
      </c>
      <c r="M44" s="198"/>
      <c r="N44" s="196">
        <v>0</v>
      </c>
      <c r="O44" s="196">
        <v>0</v>
      </c>
      <c r="P44" s="196">
        <f t="shared" si="26"/>
        <v>0</v>
      </c>
      <c r="Q44" s="624">
        <f t="shared" ca="1" si="9"/>
        <v>1584.1799479762697</v>
      </c>
      <c r="R44" s="199">
        <f t="shared" ca="1" si="27"/>
        <v>25153.54072111311</v>
      </c>
      <c r="S44" s="199"/>
      <c r="T44" s="200">
        <f t="shared" ca="1" si="28"/>
        <v>710452.40408621239</v>
      </c>
      <c r="U44" s="195"/>
      <c r="V44" s="189">
        <f t="shared" si="29"/>
        <v>23569.360773136839</v>
      </c>
      <c r="W44" s="159" t="str">
        <f>A44</f>
        <v>P.027</v>
      </c>
      <c r="X44" s="148" t="s">
        <v>333</v>
      </c>
    </row>
    <row r="45" spans="1:24" ht="13">
      <c r="A45" s="194" t="s">
        <v>338</v>
      </c>
      <c r="B45" s="156" t="s">
        <v>117</v>
      </c>
      <c r="C45" s="620" t="str">
        <f t="shared" ca="1" si="0"/>
        <v>Keystone Dam - Wekiwa 138 kV</v>
      </c>
      <c r="D45" s="181">
        <f t="shared" ca="1" si="0"/>
        <v>2020</v>
      </c>
      <c r="E45" s="621">
        <f t="shared" ca="1" si="0"/>
        <v>347790.10300118127</v>
      </c>
      <c r="F45" s="183">
        <f t="shared" ca="1" si="1"/>
        <v>0</v>
      </c>
      <c r="G45" s="183">
        <f t="shared" ca="1" si="24"/>
        <v>347790.10300118127</v>
      </c>
      <c r="H45" s="197"/>
      <c r="I45" s="186">
        <v>44654.30739045731</v>
      </c>
      <c r="J45" s="186">
        <v>302407.38707255269</v>
      </c>
      <c r="K45" s="186">
        <v>301826.73433986882</v>
      </c>
      <c r="L45" s="198">
        <f t="shared" si="25"/>
        <v>580.65273268386954</v>
      </c>
      <c r="M45" s="198"/>
      <c r="N45" s="196">
        <v>0</v>
      </c>
      <c r="O45" s="196">
        <v>0</v>
      </c>
      <c r="P45" s="196">
        <f t="shared" si="26"/>
        <v>0</v>
      </c>
      <c r="Q45" s="624">
        <f ca="1">+V45/$V$51 * $Q$51</f>
        <v>3040.4013695721951</v>
      </c>
      <c r="R45" s="199">
        <f t="shared" ca="1" si="27"/>
        <v>48275.361492713375</v>
      </c>
      <c r="S45" s="199"/>
      <c r="T45" s="200">
        <f t="shared" ca="1" si="28"/>
        <v>396065.46449389466</v>
      </c>
      <c r="U45" s="195"/>
      <c r="V45" s="189">
        <f t="shared" si="29"/>
        <v>45234.96012314118</v>
      </c>
      <c r="W45" s="629" t="s">
        <v>338</v>
      </c>
      <c r="X45" s="148" t="s">
        <v>336</v>
      </c>
    </row>
    <row r="46" spans="1:24" ht="13">
      <c r="A46" s="194" t="s">
        <v>377</v>
      </c>
      <c r="B46" s="156" t="s">
        <v>117</v>
      </c>
      <c r="C46" s="626" t="str">
        <f t="shared" ca="1" si="0"/>
        <v>Tulsa SE - S Hudson 138 kV</v>
      </c>
      <c r="D46" s="181">
        <f t="shared" ca="1" si="0"/>
        <v>2022</v>
      </c>
      <c r="E46" s="621">
        <f t="shared" ca="1" si="0"/>
        <v>0</v>
      </c>
      <c r="F46" s="183">
        <f t="shared" ca="1" si="1"/>
        <v>0</v>
      </c>
      <c r="G46" s="183">
        <f t="shared" ref="G46:G48" ca="1" si="30">+E46+F46</f>
        <v>0</v>
      </c>
      <c r="H46" s="197"/>
      <c r="I46" s="185">
        <f t="shared" ref="I46:I48" ca="1" si="31">INDIRECT("'"&amp; $A46 &amp; "'!" &amp;I$58)</f>
        <v>0</v>
      </c>
      <c r="J46" s="186">
        <v>0</v>
      </c>
      <c r="K46" s="186">
        <v>0</v>
      </c>
      <c r="L46" s="198">
        <f t="shared" ref="L46:L48" si="32">+J46-K46</f>
        <v>0</v>
      </c>
      <c r="M46" s="198"/>
      <c r="N46" s="196">
        <v>0</v>
      </c>
      <c r="O46" s="196">
        <v>0</v>
      </c>
      <c r="P46" s="196">
        <f t="shared" ref="P46:P48" si="33">+N46-O46</f>
        <v>0</v>
      </c>
      <c r="Q46" s="624">
        <f t="shared" ref="Q46:Q48" ca="1" si="34">+V46/$V$51 * $Q$51</f>
        <v>0</v>
      </c>
      <c r="R46" s="199">
        <f t="shared" ref="R46:R48" ca="1" si="35">I46+L46+P46+Q46</f>
        <v>0</v>
      </c>
      <c r="S46" s="199"/>
      <c r="T46" s="200">
        <f t="shared" ca="1" si="28"/>
        <v>0</v>
      </c>
      <c r="U46" s="195"/>
      <c r="V46" s="189">
        <f t="shared" ca="1" si="29"/>
        <v>0</v>
      </c>
      <c r="W46" s="629" t="s">
        <v>377</v>
      </c>
      <c r="X46" s="148" t="s">
        <v>374</v>
      </c>
    </row>
    <row r="47" spans="1:24" ht="13">
      <c r="A47" s="194" t="s">
        <v>378</v>
      </c>
      <c r="B47" s="156" t="s">
        <v>117</v>
      </c>
      <c r="C47" s="626" t="str">
        <f t="shared" ca="1" si="0"/>
        <v>Tulsa SE - E 21st St Tap 138 kV</v>
      </c>
      <c r="D47" s="181">
        <f t="shared" ca="1" si="0"/>
        <v>2021</v>
      </c>
      <c r="E47" s="621">
        <f t="shared" ca="1" si="0"/>
        <v>261920.95465094032</v>
      </c>
      <c r="F47" s="183">
        <f t="shared" ca="1" si="1"/>
        <v>0</v>
      </c>
      <c r="G47" s="183">
        <f t="shared" ca="1" si="30"/>
        <v>261920.95465094032</v>
      </c>
      <c r="H47" s="197"/>
      <c r="I47" s="186">
        <v>68486.42007157256</v>
      </c>
      <c r="J47" s="186">
        <v>0</v>
      </c>
      <c r="K47" s="186">
        <v>0</v>
      </c>
      <c r="L47" s="198">
        <f t="shared" si="32"/>
        <v>0</v>
      </c>
      <c r="M47" s="198"/>
      <c r="N47" s="196">
        <v>0</v>
      </c>
      <c r="O47" s="196">
        <v>0</v>
      </c>
      <c r="P47" s="196">
        <f t="shared" si="33"/>
        <v>0</v>
      </c>
      <c r="Q47" s="624">
        <f t="shared" ca="1" si="34"/>
        <v>4603.2140807875303</v>
      </c>
      <c r="R47" s="199">
        <f t="shared" ca="1" si="35"/>
        <v>73089.634152360086</v>
      </c>
      <c r="S47" s="199"/>
      <c r="T47" s="200">
        <f t="shared" ca="1" si="28"/>
        <v>335010.5888033004</v>
      </c>
      <c r="U47" s="195"/>
      <c r="V47" s="189">
        <f t="shared" si="29"/>
        <v>68486.42007157256</v>
      </c>
      <c r="W47" s="629" t="s">
        <v>378</v>
      </c>
      <c r="X47" s="148" t="s">
        <v>371</v>
      </c>
    </row>
    <row r="48" spans="1:24" ht="13">
      <c r="A48" s="194" t="s">
        <v>379</v>
      </c>
      <c r="B48" s="156" t="s">
        <v>117</v>
      </c>
      <c r="C48" s="626" t="str">
        <f t="shared" ca="1" si="0"/>
        <v>Pryor Junction 138/115 kV</v>
      </c>
      <c r="D48" s="181">
        <f t="shared" ca="1" si="0"/>
        <v>2022</v>
      </c>
      <c r="E48" s="621">
        <f t="shared" ca="1" si="0"/>
        <v>10181.795067763751</v>
      </c>
      <c r="F48" s="183">
        <f t="shared" ca="1" si="1"/>
        <v>0</v>
      </c>
      <c r="G48" s="183">
        <f t="shared" ca="1" si="30"/>
        <v>10181.795067763751</v>
      </c>
      <c r="H48" s="197"/>
      <c r="I48" s="185">
        <f t="shared" ca="1" si="31"/>
        <v>0</v>
      </c>
      <c r="J48" s="186">
        <v>0</v>
      </c>
      <c r="K48" s="186">
        <v>0</v>
      </c>
      <c r="L48" s="198">
        <f t="shared" si="32"/>
        <v>0</v>
      </c>
      <c r="M48" s="198"/>
      <c r="N48" s="196">
        <v>0</v>
      </c>
      <c r="O48" s="196">
        <v>0</v>
      </c>
      <c r="P48" s="196">
        <f t="shared" si="33"/>
        <v>0</v>
      </c>
      <c r="Q48" s="624">
        <f t="shared" ca="1" si="34"/>
        <v>0</v>
      </c>
      <c r="R48" s="199">
        <f t="shared" ca="1" si="35"/>
        <v>0</v>
      </c>
      <c r="S48" s="199"/>
      <c r="T48" s="200">
        <f t="shared" ca="1" si="28"/>
        <v>10181.795067763751</v>
      </c>
      <c r="U48" s="195"/>
      <c r="V48" s="189">
        <f t="shared" ca="1" si="29"/>
        <v>0</v>
      </c>
      <c r="W48" s="629" t="s">
        <v>379</v>
      </c>
      <c r="X48" s="148" t="s">
        <v>368</v>
      </c>
    </row>
    <row r="49" spans="1:23" ht="13">
      <c r="A49" s="194"/>
      <c r="B49" s="156"/>
      <c r="C49" s="626"/>
      <c r="D49" s="181"/>
      <c r="E49" s="621"/>
      <c r="F49" s="183"/>
      <c r="G49" s="183"/>
      <c r="H49" s="197"/>
      <c r="I49" s="185"/>
      <c r="J49" s="186"/>
      <c r="K49" s="186"/>
      <c r="L49" s="198"/>
      <c r="M49" s="198"/>
      <c r="N49" s="196"/>
      <c r="O49" s="196"/>
      <c r="P49" s="196"/>
      <c r="Q49" s="624"/>
      <c r="R49" s="199"/>
      <c r="S49" s="199"/>
      <c r="T49" s="200"/>
      <c r="U49" s="195"/>
      <c r="V49" s="189"/>
      <c r="W49" s="159"/>
    </row>
    <row r="50" spans="1:23" ht="13">
      <c r="A50" s="159"/>
      <c r="B50" s="159"/>
      <c r="C50" s="159"/>
      <c r="D50" s="156"/>
      <c r="E50" s="199"/>
      <c r="F50" s="199"/>
      <c r="G50" s="199"/>
      <c r="H50" s="187"/>
      <c r="I50" s="199"/>
      <c r="J50" s="199"/>
      <c r="K50" s="201"/>
      <c r="L50" s="199"/>
      <c r="M50" s="199"/>
      <c r="N50" s="199"/>
      <c r="O50" s="199"/>
      <c r="P50" s="199"/>
      <c r="Q50" s="625"/>
      <c r="R50" s="199"/>
      <c r="S50" s="187"/>
      <c r="T50" s="200"/>
      <c r="V50" s="179"/>
    </row>
    <row r="51" spans="1:23" ht="13">
      <c r="A51" s="159"/>
      <c r="B51" s="159"/>
      <c r="C51" s="202" t="s">
        <v>177</v>
      </c>
      <c r="D51" s="156"/>
      <c r="E51" s="187">
        <f ca="1">SUM(E18:E50)</f>
        <v>8837545.4268044475</v>
      </c>
      <c r="F51" s="187">
        <f ca="1">SUM(F18:F50)</f>
        <v>0</v>
      </c>
      <c r="G51" s="187">
        <f ca="1">SUM(G18:G50)</f>
        <v>8837545.4268044475</v>
      </c>
      <c r="H51" s="187"/>
      <c r="I51" s="187">
        <f ca="1">SUM(I18:I50)</f>
        <v>408313.90494272055</v>
      </c>
      <c r="J51" s="187">
        <f>SUM(J18:J50)</f>
        <v>8366787.0164489942</v>
      </c>
      <c r="K51" s="187">
        <v>8350721.9401560016</v>
      </c>
      <c r="L51" s="187">
        <f>SUM(L18:L50)</f>
        <v>16065.076292992593</v>
      </c>
      <c r="M51" s="187">
        <f>SUM(M18:M42)</f>
        <v>0</v>
      </c>
      <c r="N51" s="187">
        <f>SUM(N18:N50)</f>
        <v>0</v>
      </c>
      <c r="O51" s="187">
        <f>SUM(O18:O50)</f>
        <v>0</v>
      </c>
      <c r="P51" s="187">
        <f>SUM(P18:P50)</f>
        <v>0</v>
      </c>
      <c r="Q51" s="186">
        <v>28524.009576978395</v>
      </c>
      <c r="R51" s="187">
        <f ca="1">SUM(R18:R50)</f>
        <v>452902.99081269134</v>
      </c>
      <c r="S51" s="187">
        <f>SUM(S18:S42)</f>
        <v>0</v>
      </c>
      <c r="T51" s="190">
        <f ca="1">SUM(T18:T50)</f>
        <v>9290448.4176171422</v>
      </c>
      <c r="V51" s="190">
        <f ca="1">SUM(V18:V50)</f>
        <v>424378.981235713</v>
      </c>
      <c r="W51" s="203" t="s">
        <v>270</v>
      </c>
    </row>
    <row r="52" spans="1:23" ht="13.5" thickBot="1">
      <c r="A52" s="159"/>
      <c r="B52" s="159"/>
      <c r="C52" s="204"/>
      <c r="D52" s="159"/>
      <c r="E52" s="205"/>
      <c r="F52" s="206" t="str">
        <f ca="1">IF(F51='PSO.WS.F.BPU.ATRR.Projected'!O19,"","Error")</f>
        <v/>
      </c>
      <c r="G52" s="206"/>
      <c r="H52" s="159"/>
      <c r="I52" s="207" t="str">
        <f ca="1">IF(ROUND(I51,0)=ROUND('PSO.WS.G.BPU.ATRR.True-up'!N19,0),"","Error")</f>
        <v/>
      </c>
      <c r="J52" s="208"/>
      <c r="K52" s="209" t="str">
        <f>IF(K51=SUM(K18:K50),"","Error -- check allocations above).")</f>
        <v/>
      </c>
      <c r="L52" s="210"/>
      <c r="M52" s="210"/>
      <c r="N52" s="210"/>
      <c r="O52" s="210"/>
      <c r="P52" s="210"/>
      <c r="Q52" s="630" t="str">
        <f ca="1">IF(Q51=SUM(Q18:Q48),"","Error -- check allocations above).")</f>
        <v/>
      </c>
      <c r="R52" s="187"/>
      <c r="S52" s="187"/>
      <c r="T52" s="187"/>
      <c r="V52" s="211"/>
      <c r="W52" s="203"/>
    </row>
    <row r="53" spans="1:23" ht="12.5">
      <c r="A53" s="159"/>
      <c r="B53" s="159"/>
      <c r="C53" s="212" t="s">
        <v>217</v>
      </c>
      <c r="D53" s="159"/>
      <c r="E53" s="187"/>
      <c r="F53" s="187"/>
      <c r="G53" s="187"/>
      <c r="H53" s="159"/>
      <c r="I53" s="213"/>
      <c r="J53" s="213"/>
      <c r="K53" s="159"/>
      <c r="L53" s="159"/>
      <c r="M53" s="159"/>
      <c r="N53" s="210"/>
      <c r="O53" s="210"/>
      <c r="P53" s="210"/>
      <c r="Q53" s="210"/>
      <c r="R53" s="187"/>
      <c r="S53" s="187"/>
      <c r="T53" s="187"/>
    </row>
    <row r="54" spans="1:23" ht="12.5">
      <c r="A54" s="159"/>
      <c r="B54" s="159"/>
      <c r="C54" s="212"/>
      <c r="D54" s="159"/>
      <c r="E54" s="187"/>
      <c r="F54" s="187"/>
      <c r="G54" s="187"/>
      <c r="H54" s="159"/>
      <c r="I54" s="214"/>
      <c r="J54" s="215"/>
      <c r="K54" s="186"/>
      <c r="L54" s="159"/>
      <c r="M54" s="159"/>
      <c r="N54" s="210"/>
      <c r="O54" s="210"/>
      <c r="P54" s="210"/>
      <c r="Q54" s="210"/>
      <c r="R54" s="210"/>
      <c r="S54" s="159"/>
      <c r="T54" s="159"/>
    </row>
    <row r="55" spans="1:23" ht="12.5">
      <c r="E55" s="216"/>
      <c r="F55" s="216"/>
      <c r="G55" s="216"/>
      <c r="I55" s="216"/>
      <c r="J55" s="217"/>
      <c r="N55" s="218"/>
      <c r="O55" s="218"/>
      <c r="P55" s="218"/>
      <c r="Q55" s="219"/>
      <c r="R55" s="218"/>
    </row>
    <row r="56" spans="1:23" ht="12.5">
      <c r="E56" s="216"/>
      <c r="F56" s="216"/>
      <c r="G56" s="216"/>
    </row>
    <row r="57" spans="1:23" ht="12.5">
      <c r="A57" s="220" t="s">
        <v>188</v>
      </c>
      <c r="B57" s="221"/>
      <c r="C57" s="221"/>
      <c r="D57" s="221"/>
      <c r="E57" s="222"/>
      <c r="F57" s="222"/>
      <c r="G57" s="222"/>
      <c r="H57" s="221"/>
      <c r="I57" s="221"/>
      <c r="J57" s="221"/>
      <c r="K57" s="221"/>
      <c r="L57" s="221"/>
      <c r="M57" s="221"/>
      <c r="N57" s="221"/>
      <c r="O57" s="223"/>
      <c r="V57" s="148" t="s">
        <v>201</v>
      </c>
    </row>
    <row r="58" spans="1:23" ht="15.5">
      <c r="A58" s="224" t="s">
        <v>191</v>
      </c>
      <c r="B58" s="195"/>
      <c r="C58" s="225" t="str">
        <f ca="1">RIGHT(CELL("address",P.001!D7),4)</f>
        <v>$D$7</v>
      </c>
      <c r="D58" s="225" t="str">
        <f ca="1">RIGHT(CELL("address",P.001!D11),4)</f>
        <v>D$11</v>
      </c>
      <c r="E58" s="225" t="str">
        <f ca="1">RIGHT(CELL("address",P.001!N5),4)</f>
        <v>$N$5</v>
      </c>
      <c r="F58" s="225" t="str">
        <f ca="1">RIGHT(CELL("address",P.001!N7),4)</f>
        <v>$N$7</v>
      </c>
      <c r="G58" s="195"/>
      <c r="H58" s="226"/>
      <c r="I58" s="225" t="str">
        <f ca="1">RIGHT(CELL("address",P.001!M89),4)</f>
        <v>M$89</v>
      </c>
      <c r="J58" s="225"/>
      <c r="K58" s="195"/>
      <c r="L58" s="195"/>
      <c r="M58" s="195"/>
      <c r="N58" s="225" t="str">
        <f ca="1">RIGHT(CELL("address",P.001!N87),4)</f>
        <v>N$87</v>
      </c>
      <c r="O58" s="227" t="str">
        <f ca="1">RIGHT(CELL("address",P.001!N88),4)</f>
        <v>N$88</v>
      </c>
      <c r="P58" s="178" t="s">
        <v>190</v>
      </c>
      <c r="V58" s="148" t="s">
        <v>202</v>
      </c>
    </row>
    <row r="59" spans="1:23" ht="12.5">
      <c r="A59" s="228" t="s">
        <v>192</v>
      </c>
      <c r="B59" s="229"/>
      <c r="C59" s="229"/>
      <c r="D59" s="229"/>
      <c r="E59" s="230"/>
      <c r="F59" s="230"/>
      <c r="G59" s="230"/>
      <c r="H59" s="229"/>
      <c r="I59" s="229"/>
      <c r="J59" s="229"/>
      <c r="K59" s="229"/>
      <c r="L59" s="229"/>
      <c r="M59" s="229"/>
      <c r="N59" s="229"/>
      <c r="O59" s="231"/>
      <c r="V59" s="148" t="s">
        <v>203</v>
      </c>
    </row>
    <row r="60" spans="1:23" ht="12.5">
      <c r="E60" s="216"/>
      <c r="F60" s="216"/>
      <c r="G60" s="216"/>
      <c r="V60" s="148" t="s">
        <v>204</v>
      </c>
    </row>
    <row r="61" spans="1:23" ht="12.5">
      <c r="A61" s="232" t="s">
        <v>244</v>
      </c>
      <c r="B61" s="232" t="s">
        <v>245</v>
      </c>
      <c r="E61" s="216"/>
      <c r="F61" s="216"/>
      <c r="G61" s="216"/>
      <c r="V61" s="233" t="s">
        <v>225</v>
      </c>
    </row>
    <row r="62" spans="1:23" ht="12.5">
      <c r="B62" s="232" t="s">
        <v>248</v>
      </c>
      <c r="E62" s="216"/>
      <c r="F62" s="216"/>
      <c r="G62" s="216"/>
    </row>
    <row r="63" spans="1:23" ht="12.5">
      <c r="B63" s="232" t="s">
        <v>249</v>
      </c>
      <c r="E63" s="216"/>
      <c r="F63" s="216"/>
      <c r="G63" s="216"/>
    </row>
    <row r="64" spans="1:23" ht="12.5">
      <c r="B64" s="232" t="s">
        <v>246</v>
      </c>
      <c r="E64" s="216"/>
      <c r="F64" s="216"/>
      <c r="G64" s="216"/>
    </row>
    <row r="65" spans="2:11" ht="12.5">
      <c r="B65" s="232" t="s">
        <v>247</v>
      </c>
      <c r="E65" s="216"/>
      <c r="F65" s="216"/>
      <c r="G65" s="216"/>
      <c r="K65" s="234"/>
    </row>
    <row r="66" spans="2:11" ht="12.5">
      <c r="B66" s="232" t="s">
        <v>250</v>
      </c>
      <c r="E66" s="216"/>
      <c r="F66" s="216"/>
      <c r="G66" s="216"/>
    </row>
    <row r="69" spans="2:11" ht="12.75" customHeight="1">
      <c r="E69" s="160" t="s">
        <v>326</v>
      </c>
      <c r="F69" s="160" t="s">
        <v>327</v>
      </c>
      <c r="G69" s="160" t="s">
        <v>328</v>
      </c>
      <c r="H69" s="160"/>
      <c r="I69" s="235"/>
      <c r="J69" s="235"/>
    </row>
    <row r="71" spans="2:11" ht="12.75" customHeight="1">
      <c r="E71" s="214">
        <v>108452.59046922832</v>
      </c>
      <c r="F71" s="214">
        <v>118612.83535736376</v>
      </c>
      <c r="G71" s="236">
        <f t="shared" ref="G71:G95" si="36">+E71-F71</f>
        <v>-10160.244888135436</v>
      </c>
      <c r="H71" s="236"/>
      <c r="I71" s="237"/>
      <c r="J71" s="238"/>
    </row>
    <row r="72" spans="2:11" ht="12.75" customHeight="1">
      <c r="E72" s="214">
        <v>563423.59576338867</v>
      </c>
      <c r="F72" s="214">
        <v>616009.3144662733</v>
      </c>
      <c r="G72" s="236">
        <f t="shared" si="36"/>
        <v>-52585.718702884624</v>
      </c>
      <c r="H72" s="236"/>
      <c r="I72" s="237"/>
      <c r="J72" s="238"/>
    </row>
    <row r="73" spans="2:11" ht="12.75" customHeight="1">
      <c r="E73" s="214">
        <v>1385898.5101974602</v>
      </c>
      <c r="F73" s="214">
        <v>1515588.4402280932</v>
      </c>
      <c r="G73" s="236">
        <f t="shared" si="36"/>
        <v>-129689.930030633</v>
      </c>
      <c r="H73" s="236"/>
      <c r="I73" s="237"/>
      <c r="J73" s="238"/>
    </row>
    <row r="74" spans="2:11" ht="12.75" customHeight="1">
      <c r="E74" s="214">
        <v>1732706.9557914322</v>
      </c>
      <c r="F74" s="214">
        <v>1895603.111111111</v>
      </c>
      <c r="G74" s="236">
        <f t="shared" si="36"/>
        <v>-162896.15531967883</v>
      </c>
      <c r="H74" s="236"/>
      <c r="I74" s="237"/>
      <c r="J74" s="238"/>
    </row>
    <row r="75" spans="2:11" ht="12.75" customHeight="1">
      <c r="E75" s="214">
        <v>44166.093531237391</v>
      </c>
      <c r="F75" s="214">
        <v>48199.620253747162</v>
      </c>
      <c r="G75" s="236">
        <f t="shared" si="36"/>
        <v>-4033.5267225097705</v>
      </c>
      <c r="H75" s="236"/>
      <c r="I75" s="237"/>
      <c r="J75" s="238"/>
    </row>
    <row r="76" spans="2:11" ht="12.75" customHeight="1">
      <c r="E76" s="214">
        <v>179869.75016192306</v>
      </c>
      <c r="F76" s="214">
        <v>196553.85018087178</v>
      </c>
      <c r="G76" s="236">
        <f t="shared" si="36"/>
        <v>-16684.100018948724</v>
      </c>
      <c r="H76" s="236"/>
      <c r="I76" s="237"/>
      <c r="J76" s="238"/>
    </row>
    <row r="77" spans="2:11" ht="12.75" customHeight="1">
      <c r="E77" s="214">
        <v>9943.4463018575989</v>
      </c>
      <c r="F77" s="214">
        <v>10864.165928547483</v>
      </c>
      <c r="G77" s="236">
        <f t="shared" si="36"/>
        <v>-920.71962668988454</v>
      </c>
      <c r="H77" s="236"/>
      <c r="I77" s="237"/>
      <c r="J77" s="238"/>
    </row>
    <row r="78" spans="2:11" ht="12.75" customHeight="1">
      <c r="E78" s="214">
        <v>6401.6194166931018</v>
      </c>
      <c r="F78" s="214">
        <v>6986.5540517513546</v>
      </c>
      <c r="G78" s="236">
        <f t="shared" si="36"/>
        <v>-584.93463505825275</v>
      </c>
      <c r="H78" s="236"/>
      <c r="I78" s="237"/>
      <c r="J78" s="238"/>
    </row>
    <row r="79" spans="2:11" ht="12.75" customHeight="1">
      <c r="E79" s="214">
        <v>8441.9635566451543</v>
      </c>
      <c r="F79" s="214">
        <v>9219.7957260985368</v>
      </c>
      <c r="G79" s="236">
        <f t="shared" si="36"/>
        <v>-777.83216945338245</v>
      </c>
      <c r="H79" s="236"/>
      <c r="I79" s="237"/>
      <c r="J79" s="238"/>
    </row>
    <row r="80" spans="2:11" ht="12.75" customHeight="1">
      <c r="E80" s="214">
        <v>11848.855149661711</v>
      </c>
      <c r="F80" s="214">
        <v>12963.911111111111</v>
      </c>
      <c r="G80" s="236">
        <f t="shared" si="36"/>
        <v>-1115.0559614493995</v>
      </c>
      <c r="H80" s="236"/>
      <c r="I80" s="237"/>
      <c r="J80" s="238"/>
    </row>
    <row r="81" spans="5:10" ht="12.75" customHeight="1">
      <c r="E81" s="214">
        <v>175500.68121965264</v>
      </c>
      <c r="F81" s="214">
        <v>192128.21377777777</v>
      </c>
      <c r="G81" s="236">
        <f t="shared" si="36"/>
        <v>-16627.532558125124</v>
      </c>
      <c r="H81" s="236"/>
      <c r="I81" s="237"/>
      <c r="J81" s="238"/>
    </row>
    <row r="82" spans="5:10" ht="12.75" customHeight="1">
      <c r="E82" s="214">
        <v>426952.93022607185</v>
      </c>
      <c r="F82" s="214">
        <v>467887.49199999997</v>
      </c>
      <c r="G82" s="236">
        <f t="shared" si="36"/>
        <v>-40934.561773928115</v>
      </c>
      <c r="H82" s="236"/>
      <c r="I82" s="237"/>
      <c r="J82" s="238"/>
    </row>
    <row r="83" spans="5:10" ht="12.75" customHeight="1">
      <c r="E83" s="214">
        <v>2821.8344922068077</v>
      </c>
      <c r="F83" s="214">
        <v>3091.0444444444443</v>
      </c>
      <c r="G83" s="236">
        <f t="shared" si="36"/>
        <v>-269.20995223763657</v>
      </c>
      <c r="H83" s="236"/>
      <c r="I83" s="237"/>
      <c r="J83" s="238"/>
    </row>
    <row r="84" spans="5:10" ht="12.75" customHeight="1">
      <c r="E84" s="214">
        <v>124772.2053766459</v>
      </c>
      <c r="F84" s="214">
        <v>136430.26666666666</v>
      </c>
      <c r="G84" s="236">
        <f t="shared" si="36"/>
        <v>-11658.061290020763</v>
      </c>
      <c r="H84" s="236"/>
      <c r="I84" s="237"/>
      <c r="J84" s="238"/>
    </row>
    <row r="85" spans="5:10" ht="12.75" customHeight="1">
      <c r="E85" s="214">
        <v>295431.5183187396</v>
      </c>
      <c r="F85" s="214">
        <v>323935.0793333333</v>
      </c>
      <c r="G85" s="236">
        <f t="shared" si="36"/>
        <v>-28503.561014593695</v>
      </c>
      <c r="H85" s="236"/>
      <c r="I85" s="237"/>
      <c r="J85" s="238"/>
    </row>
    <row r="86" spans="5:10" ht="12.75" customHeight="1">
      <c r="E86" s="214">
        <v>674633.13832799566</v>
      </c>
      <c r="F86" s="214">
        <v>740035.4</v>
      </c>
      <c r="G86" s="236">
        <f t="shared" si="36"/>
        <v>-65402.261672004359</v>
      </c>
      <c r="H86" s="236"/>
      <c r="I86" s="237"/>
      <c r="J86" s="238"/>
    </row>
    <row r="87" spans="5:10" ht="12.75" customHeight="1">
      <c r="E87" s="214">
        <v>229518.46356971579</v>
      </c>
      <c r="F87" s="214">
        <v>251897.51111111112</v>
      </c>
      <c r="G87" s="236">
        <f t="shared" si="36"/>
        <v>-22379.047541395325</v>
      </c>
      <c r="H87" s="236"/>
      <c r="I87" s="237"/>
      <c r="J87" s="238"/>
    </row>
    <row r="88" spans="5:10" ht="12.75" customHeight="1">
      <c r="E88" s="214">
        <v>227656.2696364547</v>
      </c>
      <c r="F88" s="214">
        <v>249645.70777777777</v>
      </c>
      <c r="G88" s="236">
        <f t="shared" si="36"/>
        <v>-21989.438141323073</v>
      </c>
      <c r="H88" s="236"/>
      <c r="I88" s="237"/>
      <c r="J88" s="238"/>
    </row>
    <row r="89" spans="5:10" ht="12.75" customHeight="1">
      <c r="E89" s="214">
        <v>185741.34290994913</v>
      </c>
      <c r="F89" s="214">
        <v>205998.2169756256</v>
      </c>
      <c r="G89" s="236">
        <f t="shared" si="36"/>
        <v>-20256.874065676471</v>
      </c>
      <c r="H89" s="236"/>
      <c r="I89" s="237"/>
      <c r="J89" s="238"/>
    </row>
    <row r="90" spans="5:10" ht="12.75" customHeight="1">
      <c r="E90" s="214">
        <v>78830.35648290487</v>
      </c>
      <c r="F90" s="214">
        <v>87696.739331146033</v>
      </c>
      <c r="G90" s="236">
        <f t="shared" si="36"/>
        <v>-8866.3828482411627</v>
      </c>
      <c r="H90" s="236"/>
      <c r="I90" s="237"/>
      <c r="J90" s="238"/>
    </row>
    <row r="91" spans="5:10" ht="12.75" customHeight="1">
      <c r="E91" s="214">
        <v>36514.867050668458</v>
      </c>
      <c r="F91" s="214">
        <v>40500.711549338856</v>
      </c>
      <c r="G91" s="236">
        <f t="shared" si="36"/>
        <v>-3985.844498670398</v>
      </c>
      <c r="H91" s="236"/>
      <c r="I91" s="237"/>
      <c r="J91" s="238"/>
    </row>
    <row r="92" spans="5:10" ht="12.75" customHeight="1">
      <c r="E92" s="214">
        <v>17161.945194330583</v>
      </c>
      <c r="F92" s="214">
        <v>19038.576480221469</v>
      </c>
      <c r="G92" s="236">
        <f t="shared" si="36"/>
        <v>-1876.6312858908859</v>
      </c>
      <c r="H92" s="236"/>
      <c r="I92" s="237"/>
      <c r="J92" s="238"/>
    </row>
    <row r="93" spans="5:10" ht="12.75" customHeight="1">
      <c r="E93" s="214">
        <v>125057.12522754009</v>
      </c>
      <c r="F93" s="214">
        <v>138731.92205669577</v>
      </c>
      <c r="G93" s="236">
        <f t="shared" si="36"/>
        <v>-13674.796829155675</v>
      </c>
      <c r="H93" s="236"/>
      <c r="I93" s="237"/>
      <c r="J93" s="238"/>
    </row>
    <row r="94" spans="5:10" ht="12.75" customHeight="1">
      <c r="E94" s="214">
        <v>73430.617962627584</v>
      </c>
      <c r="F94" s="214">
        <v>81460.13871045578</v>
      </c>
      <c r="G94" s="236">
        <f t="shared" si="36"/>
        <v>-8029.5207478281955</v>
      </c>
      <c r="H94" s="236"/>
      <c r="I94" s="237"/>
      <c r="J94" s="238"/>
    </row>
    <row r="95" spans="5:10" ht="12.75" customHeight="1">
      <c r="E95" s="214">
        <v>85528.382607811436</v>
      </c>
      <c r="F95" s="214">
        <v>94880.774589956171</v>
      </c>
      <c r="G95" s="236">
        <f t="shared" si="36"/>
        <v>-9352.3919821447344</v>
      </c>
      <c r="H95" s="236"/>
      <c r="I95" s="237"/>
      <c r="J95" s="238"/>
    </row>
    <row r="96" spans="5:10" ht="12.75" customHeight="1">
      <c r="E96" s="236"/>
      <c r="F96" s="236"/>
      <c r="H96" s="236"/>
      <c r="I96" s="236"/>
      <c r="J96" s="236"/>
    </row>
    <row r="97" spans="5:10" ht="12.75" customHeight="1">
      <c r="E97" s="236">
        <f>SUM(E71:E96)</f>
        <v>6810705.0589428414</v>
      </c>
      <c r="F97" s="236">
        <f>SUM(F71:F96)</f>
        <v>7463959.3932195175</v>
      </c>
      <c r="G97" s="236">
        <f>SUM(G71:G96)</f>
        <v>-653254.33427667688</v>
      </c>
      <c r="H97" s="236"/>
      <c r="I97" s="236"/>
      <c r="J97" s="236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5">
    <tabColor rgb="FFC0000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7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8867.6018741323824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8867.6018741323824</v>
      </c>
      <c r="O6" s="232"/>
      <c r="P6" s="232"/>
    </row>
    <row r="7" spans="1:16" ht="13.5" thickBot="1">
      <c r="C7" s="431" t="s">
        <v>46</v>
      </c>
      <c r="D7" s="432" t="s">
        <v>214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86</v>
      </c>
      <c r="E9" s="577" t="s">
        <v>348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84424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2165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2007</v>
      </c>
      <c r="D17" s="473">
        <v>84424</v>
      </c>
      <c r="E17" s="474">
        <v>0</v>
      </c>
      <c r="F17" s="473">
        <v>84424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2008</v>
      </c>
      <c r="D18" s="479">
        <v>84424</v>
      </c>
      <c r="E18" s="480">
        <v>1508</v>
      </c>
      <c r="F18" s="479">
        <v>82916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2009</v>
      </c>
      <c r="D19" s="479">
        <v>82916</v>
      </c>
      <c r="E19" s="480">
        <v>1508</v>
      </c>
      <c r="F19" s="479">
        <v>81408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2010</v>
      </c>
      <c r="D20" s="479">
        <v>81408</v>
      </c>
      <c r="E20" s="480">
        <v>1508</v>
      </c>
      <c r="F20" s="479">
        <v>79900</v>
      </c>
      <c r="G20" s="480">
        <v>13037.291488737637</v>
      </c>
      <c r="H20" s="481">
        <v>13037.291488737637</v>
      </c>
      <c r="I20" s="475">
        <v>0</v>
      </c>
      <c r="J20" s="475"/>
      <c r="K20" s="540">
        <f t="shared" ref="K20:K25" si="5">G20</f>
        <v>13037.291488737637</v>
      </c>
      <c r="L20" s="541">
        <f t="shared" si="1"/>
        <v>0</v>
      </c>
      <c r="M20" s="540">
        <f t="shared" ref="M20:M25" si="6">H20</f>
        <v>13037.291488737637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2011</v>
      </c>
      <c r="D21" s="479">
        <v>79900</v>
      </c>
      <c r="E21" s="480">
        <v>1655</v>
      </c>
      <c r="F21" s="479">
        <v>78245</v>
      </c>
      <c r="G21" s="480">
        <v>13903.733792156472</v>
      </c>
      <c r="H21" s="481">
        <v>13903.733792156472</v>
      </c>
      <c r="I21" s="475">
        <f t="shared" si="0"/>
        <v>0</v>
      </c>
      <c r="J21" s="475"/>
      <c r="K21" s="476">
        <f t="shared" si="5"/>
        <v>13903.733792156472</v>
      </c>
      <c r="L21" s="550">
        <f t="shared" si="1"/>
        <v>0</v>
      </c>
      <c r="M21" s="476">
        <f t="shared" si="6"/>
        <v>13903.733792156472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2012</v>
      </c>
      <c r="D22" s="479">
        <v>78245</v>
      </c>
      <c r="E22" s="480">
        <v>1624</v>
      </c>
      <c r="F22" s="479">
        <v>76621</v>
      </c>
      <c r="G22" s="480">
        <v>12290.159159207155</v>
      </c>
      <c r="H22" s="481">
        <v>12290.159159207155</v>
      </c>
      <c r="I22" s="475">
        <f t="shared" si="0"/>
        <v>0</v>
      </c>
      <c r="J22" s="475"/>
      <c r="K22" s="476">
        <f t="shared" si="5"/>
        <v>12290.159159207155</v>
      </c>
      <c r="L22" s="550">
        <f t="shared" si="1"/>
        <v>0</v>
      </c>
      <c r="M22" s="476">
        <f t="shared" si="6"/>
        <v>12290.159159207155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2013</v>
      </c>
      <c r="D23" s="479">
        <v>76621</v>
      </c>
      <c r="E23" s="480">
        <v>1624</v>
      </c>
      <c r="F23" s="479">
        <v>74997</v>
      </c>
      <c r="G23" s="480">
        <v>12334.078606810854</v>
      </c>
      <c r="H23" s="481">
        <v>12334.078606810854</v>
      </c>
      <c r="I23" s="475">
        <v>0</v>
      </c>
      <c r="J23" s="475"/>
      <c r="K23" s="476">
        <f t="shared" si="5"/>
        <v>12334.078606810854</v>
      </c>
      <c r="L23" s="550">
        <f t="shared" ref="L23:L28" si="7">IF(K23&lt;&gt;0,+G23-K23,0)</f>
        <v>0</v>
      </c>
      <c r="M23" s="476">
        <f t="shared" si="6"/>
        <v>12334.078606810854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 ht="12.5">
      <c r="B24" s="160" t="str">
        <f t="shared" si="4"/>
        <v/>
      </c>
      <c r="C24" s="472">
        <f>IF(D11="","-",+C23+1)</f>
        <v>2014</v>
      </c>
      <c r="D24" s="479">
        <v>74997</v>
      </c>
      <c r="E24" s="480">
        <v>1624</v>
      </c>
      <c r="F24" s="479">
        <v>73373</v>
      </c>
      <c r="G24" s="480">
        <v>11724.436761777028</v>
      </c>
      <c r="H24" s="481">
        <v>11724.436761777028</v>
      </c>
      <c r="I24" s="475">
        <v>0</v>
      </c>
      <c r="J24" s="475"/>
      <c r="K24" s="476">
        <f t="shared" si="5"/>
        <v>11724.436761777028</v>
      </c>
      <c r="L24" s="550">
        <f t="shared" si="7"/>
        <v>0</v>
      </c>
      <c r="M24" s="476">
        <f t="shared" si="6"/>
        <v>11724.436761777028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4"/>
        <v/>
      </c>
      <c r="C25" s="472">
        <f>IF(D11="","-",+C24+1)</f>
        <v>2015</v>
      </c>
      <c r="D25" s="479">
        <v>73373</v>
      </c>
      <c r="E25" s="480">
        <v>1624</v>
      </c>
      <c r="F25" s="479">
        <v>71749</v>
      </c>
      <c r="G25" s="480">
        <v>11516.153501332747</v>
      </c>
      <c r="H25" s="481">
        <v>11516.153501332747</v>
      </c>
      <c r="I25" s="475">
        <v>0</v>
      </c>
      <c r="J25" s="475"/>
      <c r="K25" s="476">
        <f t="shared" si="5"/>
        <v>11516.153501332747</v>
      </c>
      <c r="L25" s="550">
        <f t="shared" si="7"/>
        <v>0</v>
      </c>
      <c r="M25" s="476">
        <f t="shared" si="6"/>
        <v>11516.153501332747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2016</v>
      </c>
      <c r="D26" s="479">
        <v>71749</v>
      </c>
      <c r="E26" s="480">
        <v>1624</v>
      </c>
      <c r="F26" s="479">
        <v>70125</v>
      </c>
      <c r="G26" s="480">
        <v>10821.569336122064</v>
      </c>
      <c r="H26" s="481">
        <v>10821.569336122064</v>
      </c>
      <c r="I26" s="475">
        <f t="shared" si="0"/>
        <v>0</v>
      </c>
      <c r="J26" s="475"/>
      <c r="K26" s="476">
        <f t="shared" ref="K26:K31" si="10">G26</f>
        <v>10821.569336122064</v>
      </c>
      <c r="L26" s="550">
        <f t="shared" si="7"/>
        <v>0</v>
      </c>
      <c r="M26" s="476">
        <f t="shared" ref="M26:M31" si="11">H26</f>
        <v>10821.569336122064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2017</v>
      </c>
      <c r="D27" s="479">
        <v>70125</v>
      </c>
      <c r="E27" s="480">
        <v>1835</v>
      </c>
      <c r="F27" s="479">
        <v>68290</v>
      </c>
      <c r="G27" s="480">
        <v>10525.630110064558</v>
      </c>
      <c r="H27" s="481">
        <v>10525.630110064558</v>
      </c>
      <c r="I27" s="475">
        <f t="shared" si="0"/>
        <v>0</v>
      </c>
      <c r="J27" s="475"/>
      <c r="K27" s="476">
        <f t="shared" si="10"/>
        <v>10525.630110064558</v>
      </c>
      <c r="L27" s="550">
        <f t="shared" si="7"/>
        <v>0</v>
      </c>
      <c r="M27" s="476">
        <f t="shared" si="11"/>
        <v>10525.630110064558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2018</v>
      </c>
      <c r="D28" s="479">
        <v>68290</v>
      </c>
      <c r="E28" s="480">
        <v>1876</v>
      </c>
      <c r="F28" s="479">
        <v>66414</v>
      </c>
      <c r="G28" s="480">
        <v>9942.0041745497692</v>
      </c>
      <c r="H28" s="481">
        <v>9942.0041745497692</v>
      </c>
      <c r="I28" s="475">
        <f t="shared" si="0"/>
        <v>0</v>
      </c>
      <c r="J28" s="475"/>
      <c r="K28" s="476">
        <f t="shared" si="10"/>
        <v>9942.0041745497692</v>
      </c>
      <c r="L28" s="550">
        <f t="shared" si="7"/>
        <v>0</v>
      </c>
      <c r="M28" s="476">
        <f t="shared" si="11"/>
        <v>9942.0041745497692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2019</v>
      </c>
      <c r="D29" s="479">
        <v>66414</v>
      </c>
      <c r="E29" s="480">
        <v>2111</v>
      </c>
      <c r="F29" s="479">
        <v>64303</v>
      </c>
      <c r="G29" s="480">
        <v>9408.7099366610164</v>
      </c>
      <c r="H29" s="481">
        <v>9408.7099366610164</v>
      </c>
      <c r="I29" s="475">
        <f t="shared" si="0"/>
        <v>0</v>
      </c>
      <c r="J29" s="475"/>
      <c r="K29" s="476">
        <f t="shared" si="10"/>
        <v>9408.7099366610164</v>
      </c>
      <c r="L29" s="550">
        <f t="shared" ref="L29" si="12">IF(K29&lt;&gt;0,+G29-K29,0)</f>
        <v>0</v>
      </c>
      <c r="M29" s="476">
        <f t="shared" si="11"/>
        <v>9408.7099366610164</v>
      </c>
      <c r="N29" s="478">
        <f t="shared" ref="N29" si="13">IF(M29&lt;&gt;0,+H29-M29,0)</f>
        <v>0</v>
      </c>
      <c r="O29" s="478">
        <f t="shared" ref="O29" si="14">+N29-L29</f>
        <v>0</v>
      </c>
      <c r="P29" s="242"/>
    </row>
    <row r="30" spans="2:16" ht="12.5">
      <c r="B30" s="160" t="str">
        <f t="shared" si="4"/>
        <v>IU</v>
      </c>
      <c r="C30" s="472">
        <f>IF(D11="","-",+C29+1)</f>
        <v>2020</v>
      </c>
      <c r="D30" s="479">
        <v>64538</v>
      </c>
      <c r="E30" s="480">
        <v>2010</v>
      </c>
      <c r="F30" s="479">
        <v>62528</v>
      </c>
      <c r="G30" s="480">
        <v>8871.8674914200565</v>
      </c>
      <c r="H30" s="481">
        <v>8871.8674914200565</v>
      </c>
      <c r="I30" s="475">
        <f t="shared" si="0"/>
        <v>0</v>
      </c>
      <c r="J30" s="475"/>
      <c r="K30" s="476">
        <f t="shared" si="10"/>
        <v>8871.8674914200565</v>
      </c>
      <c r="L30" s="550">
        <f t="shared" ref="L30" si="15">IF(K30&lt;&gt;0,+G30-K30,0)</f>
        <v>0</v>
      </c>
      <c r="M30" s="476">
        <f t="shared" si="11"/>
        <v>8871.8674914200565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4"/>
        <v>IU</v>
      </c>
      <c r="C31" s="472">
        <f>IF(D11="","-",+C30+1)</f>
        <v>2021</v>
      </c>
      <c r="D31" s="479">
        <v>62293</v>
      </c>
      <c r="E31" s="480">
        <v>1963</v>
      </c>
      <c r="F31" s="479">
        <v>60330</v>
      </c>
      <c r="G31" s="480">
        <v>8467.8802590192263</v>
      </c>
      <c r="H31" s="481">
        <v>8467.8802590192263</v>
      </c>
      <c r="I31" s="475">
        <f t="shared" si="0"/>
        <v>0</v>
      </c>
      <c r="J31" s="475"/>
      <c r="K31" s="476">
        <f t="shared" si="10"/>
        <v>8467.8802590192263</v>
      </c>
      <c r="L31" s="550">
        <f t="shared" ref="L31" si="16">IF(K31&lt;&gt;0,+G31-K31,0)</f>
        <v>0</v>
      </c>
      <c r="M31" s="476">
        <f t="shared" si="11"/>
        <v>8467.8802590192263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/>
      </c>
      <c r="C32" s="472">
        <f>IF(D11="","-",+C31+1)</f>
        <v>2022</v>
      </c>
      <c r="D32" s="479">
        <v>60330</v>
      </c>
      <c r="E32" s="480">
        <v>2010</v>
      </c>
      <c r="F32" s="479">
        <v>58320</v>
      </c>
      <c r="G32" s="480">
        <v>8297.5518554789269</v>
      </c>
      <c r="H32" s="481">
        <v>8297.5518554789269</v>
      </c>
      <c r="I32" s="475">
        <f t="shared" si="0"/>
        <v>0</v>
      </c>
      <c r="J32" s="475"/>
      <c r="K32" s="476">
        <f t="shared" ref="K32" si="17">G32</f>
        <v>8297.5518554789269</v>
      </c>
      <c r="L32" s="550">
        <f t="shared" ref="L32" si="18">IF(K32&lt;&gt;0,+G32-K32,0)</f>
        <v>0</v>
      </c>
      <c r="M32" s="476">
        <f t="shared" ref="M32" si="19">H32</f>
        <v>8297.5518554789269</v>
      </c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58320</v>
      </c>
      <c r="E33" s="484">
        <f>IF(+I14&lt;F32,I14,D33)</f>
        <v>2165</v>
      </c>
      <c r="F33" s="485">
        <f t="shared" ref="F33:F48" si="20">+D33-E33</f>
        <v>56155</v>
      </c>
      <c r="G33" s="486">
        <f t="shared" ref="G33:G72" si="21">+I$12*F33+E33</f>
        <v>8867.6018741323824</v>
      </c>
      <c r="H33" s="455">
        <f t="shared" ref="H33:H72" si="22">+I$13*F33+E33</f>
        <v>8867.6018741323824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56155</v>
      </c>
      <c r="E34" s="484">
        <f>IF(+I14&lt;F33,I14,D34)</f>
        <v>2165</v>
      </c>
      <c r="F34" s="485">
        <f t="shared" si="20"/>
        <v>53990</v>
      </c>
      <c r="G34" s="486">
        <f t="shared" si="21"/>
        <v>8609.1897459604188</v>
      </c>
      <c r="H34" s="455">
        <f t="shared" si="22"/>
        <v>8609.1897459604188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53990</v>
      </c>
      <c r="E35" s="484">
        <f>IF(+I14&lt;F34,I14,D35)</f>
        <v>2165</v>
      </c>
      <c r="F35" s="485">
        <f t="shared" si="20"/>
        <v>51825</v>
      </c>
      <c r="G35" s="486">
        <f t="shared" si="21"/>
        <v>8350.7776177884552</v>
      </c>
      <c r="H35" s="455">
        <f t="shared" si="22"/>
        <v>8350.7776177884552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51825</v>
      </c>
      <c r="E36" s="484">
        <f>IF(+I14&lt;F35,I14,D36)</f>
        <v>2165</v>
      </c>
      <c r="F36" s="485">
        <f t="shared" si="20"/>
        <v>49660</v>
      </c>
      <c r="G36" s="486">
        <f t="shared" si="21"/>
        <v>8092.3654896164926</v>
      </c>
      <c r="H36" s="455">
        <f t="shared" si="22"/>
        <v>8092.3654896164926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49660</v>
      </c>
      <c r="E37" s="484">
        <f>IF(+I14&lt;F36,I14,D37)</f>
        <v>2165</v>
      </c>
      <c r="F37" s="485">
        <f t="shared" si="20"/>
        <v>47495</v>
      </c>
      <c r="G37" s="486">
        <f t="shared" si="21"/>
        <v>7833.953361444529</v>
      </c>
      <c r="H37" s="455">
        <f t="shared" si="22"/>
        <v>7833.953361444529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47495</v>
      </c>
      <c r="E38" s="484">
        <f>IF(+I14&lt;F37,I14,D38)</f>
        <v>2165</v>
      </c>
      <c r="F38" s="485">
        <f t="shared" si="20"/>
        <v>45330</v>
      </c>
      <c r="G38" s="486">
        <f t="shared" si="21"/>
        <v>7575.5412332725655</v>
      </c>
      <c r="H38" s="455">
        <f t="shared" si="22"/>
        <v>7575.5412332725655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45330</v>
      </c>
      <c r="E39" s="484">
        <f>IF(+I14&lt;F38,I14,D39)</f>
        <v>2165</v>
      </c>
      <c r="F39" s="485">
        <f t="shared" si="20"/>
        <v>43165</v>
      </c>
      <c r="G39" s="486">
        <f t="shared" si="21"/>
        <v>7317.1291051006019</v>
      </c>
      <c r="H39" s="455">
        <f t="shared" si="22"/>
        <v>7317.1291051006019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43165</v>
      </c>
      <c r="E40" s="484">
        <f>IF(+I14&lt;F39,I14,D40)</f>
        <v>2165</v>
      </c>
      <c r="F40" s="485">
        <f t="shared" si="20"/>
        <v>41000</v>
      </c>
      <c r="G40" s="486">
        <f t="shared" si="21"/>
        <v>7058.7169769286384</v>
      </c>
      <c r="H40" s="455">
        <f t="shared" si="22"/>
        <v>7058.7169769286384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41000</v>
      </c>
      <c r="E41" s="484">
        <f>IF(+I14&lt;F40,I14,D41)</f>
        <v>2165</v>
      </c>
      <c r="F41" s="485">
        <f t="shared" si="20"/>
        <v>38835</v>
      </c>
      <c r="G41" s="486">
        <f t="shared" si="21"/>
        <v>6800.3048487566757</v>
      </c>
      <c r="H41" s="455">
        <f t="shared" si="22"/>
        <v>6800.3048487566757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38835</v>
      </c>
      <c r="E42" s="484">
        <f>IF(+I14&lt;F41,I14,D42)</f>
        <v>2165</v>
      </c>
      <c r="F42" s="485">
        <f t="shared" si="20"/>
        <v>36670</v>
      </c>
      <c r="G42" s="486">
        <f t="shared" si="21"/>
        <v>6541.8927205847122</v>
      </c>
      <c r="H42" s="455">
        <f t="shared" si="22"/>
        <v>6541.8927205847122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36670</v>
      </c>
      <c r="E43" s="484">
        <f>IF(+I14&lt;F42,I14,D43)</f>
        <v>2165</v>
      </c>
      <c r="F43" s="485">
        <f t="shared" si="20"/>
        <v>34505</v>
      </c>
      <c r="G43" s="486">
        <f t="shared" si="21"/>
        <v>6283.4805924127486</v>
      </c>
      <c r="H43" s="455">
        <f t="shared" si="22"/>
        <v>6283.4805924127486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34505</v>
      </c>
      <c r="E44" s="484">
        <f>IF(+I14&lt;F43,I14,D44)</f>
        <v>2165</v>
      </c>
      <c r="F44" s="485">
        <f t="shared" si="20"/>
        <v>32340</v>
      </c>
      <c r="G44" s="486">
        <f t="shared" si="21"/>
        <v>6025.068464240785</v>
      </c>
      <c r="H44" s="455">
        <f t="shared" si="22"/>
        <v>6025.068464240785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32340</v>
      </c>
      <c r="E45" s="484">
        <f>IF(+I14&lt;F44,I14,D45)</f>
        <v>2165</v>
      </c>
      <c r="F45" s="485">
        <f t="shared" si="20"/>
        <v>30175</v>
      </c>
      <c r="G45" s="486">
        <f t="shared" si="21"/>
        <v>5766.6563360688215</v>
      </c>
      <c r="H45" s="455">
        <f t="shared" si="22"/>
        <v>5766.6563360688215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30175</v>
      </c>
      <c r="E46" s="484">
        <f>IF(+I14&lt;F45,I14,D46)</f>
        <v>2165</v>
      </c>
      <c r="F46" s="485">
        <f t="shared" si="20"/>
        <v>28010</v>
      </c>
      <c r="G46" s="486">
        <f t="shared" si="21"/>
        <v>5508.2442078968579</v>
      </c>
      <c r="H46" s="455">
        <f t="shared" si="22"/>
        <v>5508.2442078968579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28010</v>
      </c>
      <c r="E47" s="484">
        <f>IF(+I14&lt;F46,I14,D47)</f>
        <v>2165</v>
      </c>
      <c r="F47" s="485">
        <f t="shared" si="20"/>
        <v>25845</v>
      </c>
      <c r="G47" s="486">
        <f t="shared" si="21"/>
        <v>5249.8320797248944</v>
      </c>
      <c r="H47" s="455">
        <f t="shared" si="22"/>
        <v>5249.8320797248944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25845</v>
      </c>
      <c r="E48" s="484">
        <f>IF(+I14&lt;F47,I14,D48)</f>
        <v>2165</v>
      </c>
      <c r="F48" s="485">
        <f t="shared" si="20"/>
        <v>23680</v>
      </c>
      <c r="G48" s="486">
        <f t="shared" si="21"/>
        <v>4991.4199515529308</v>
      </c>
      <c r="H48" s="455">
        <f t="shared" si="22"/>
        <v>4991.4199515529308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23680</v>
      </c>
      <c r="E49" s="484">
        <f>IF(+I14&lt;F48,I14,D49)</f>
        <v>2165</v>
      </c>
      <c r="F49" s="485">
        <f t="shared" ref="F49:F72" si="23">+D49-E49</f>
        <v>21515</v>
      </c>
      <c r="G49" s="486">
        <f t="shared" si="21"/>
        <v>4733.0078233809672</v>
      </c>
      <c r="H49" s="455">
        <f t="shared" si="22"/>
        <v>4733.0078233809672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21515</v>
      </c>
      <c r="E50" s="484">
        <f>IF(+I14&lt;F49,I14,D50)</f>
        <v>2165</v>
      </c>
      <c r="F50" s="485">
        <f t="shared" si="23"/>
        <v>19350</v>
      </c>
      <c r="G50" s="486">
        <f t="shared" si="21"/>
        <v>4474.5956952090037</v>
      </c>
      <c r="H50" s="455">
        <f t="shared" si="22"/>
        <v>4474.5956952090037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19350</v>
      </c>
      <c r="E51" s="484">
        <f>IF(+I14&lt;F50,I14,D51)</f>
        <v>2165</v>
      </c>
      <c r="F51" s="485">
        <f t="shared" si="23"/>
        <v>17185</v>
      </c>
      <c r="G51" s="486">
        <f t="shared" si="21"/>
        <v>4216.1835670370401</v>
      </c>
      <c r="H51" s="455">
        <f t="shared" si="22"/>
        <v>4216.1835670370401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17185</v>
      </c>
      <c r="E52" s="484">
        <f>IF(+I14&lt;F51,I14,D52)</f>
        <v>2165</v>
      </c>
      <c r="F52" s="485">
        <f t="shared" si="23"/>
        <v>15020</v>
      </c>
      <c r="G52" s="486">
        <f t="shared" si="21"/>
        <v>3957.771438865077</v>
      </c>
      <c r="H52" s="455">
        <f t="shared" si="22"/>
        <v>3957.771438865077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15020</v>
      </c>
      <c r="E53" s="484">
        <f>IF(+I14&lt;F52,I14,D53)</f>
        <v>2165</v>
      </c>
      <c r="F53" s="485">
        <f t="shared" si="23"/>
        <v>12855</v>
      </c>
      <c r="G53" s="486">
        <f t="shared" si="21"/>
        <v>3699.3593106931135</v>
      </c>
      <c r="H53" s="455">
        <f t="shared" si="22"/>
        <v>3699.3593106931135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12855</v>
      </c>
      <c r="E54" s="484">
        <f>IF(+I14&lt;F53,I14,D54)</f>
        <v>2165</v>
      </c>
      <c r="F54" s="485">
        <f t="shared" si="23"/>
        <v>10690</v>
      </c>
      <c r="G54" s="486">
        <f t="shared" si="21"/>
        <v>3440.9471825211499</v>
      </c>
      <c r="H54" s="455">
        <f t="shared" si="22"/>
        <v>3440.9471825211499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10690</v>
      </c>
      <c r="E55" s="484">
        <f>IF(+I14&lt;F54,I14,D55)</f>
        <v>2165</v>
      </c>
      <c r="F55" s="485">
        <f t="shared" si="23"/>
        <v>8525</v>
      </c>
      <c r="G55" s="486">
        <f t="shared" si="21"/>
        <v>3182.5350543491863</v>
      </c>
      <c r="H55" s="455">
        <f t="shared" si="22"/>
        <v>3182.5350543491863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8525</v>
      </c>
      <c r="E56" s="484">
        <f>IF(+I14&lt;F55,I14,D56)</f>
        <v>2165</v>
      </c>
      <c r="F56" s="485">
        <f t="shared" si="23"/>
        <v>6360</v>
      </c>
      <c r="G56" s="486">
        <f t="shared" si="21"/>
        <v>2924.1229261772232</v>
      </c>
      <c r="H56" s="455">
        <f t="shared" si="22"/>
        <v>2924.1229261772232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6360</v>
      </c>
      <c r="E57" s="484">
        <f>IF(+I14&lt;F56,I14,D57)</f>
        <v>2165</v>
      </c>
      <c r="F57" s="485">
        <f t="shared" si="23"/>
        <v>4195</v>
      </c>
      <c r="G57" s="486">
        <f t="shared" si="21"/>
        <v>2665.7107980052597</v>
      </c>
      <c r="H57" s="455">
        <f t="shared" si="22"/>
        <v>2665.7107980052597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4195</v>
      </c>
      <c r="E58" s="484">
        <f>IF(+I14&lt;F57,I14,D58)</f>
        <v>2165</v>
      </c>
      <c r="F58" s="485">
        <f t="shared" si="23"/>
        <v>2030</v>
      </c>
      <c r="G58" s="486">
        <f t="shared" si="21"/>
        <v>2407.2986698332961</v>
      </c>
      <c r="H58" s="455">
        <f t="shared" si="22"/>
        <v>2407.2986698332961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2030</v>
      </c>
      <c r="E59" s="484">
        <f>IF(+I14&lt;F58,I14,D59)</f>
        <v>2030</v>
      </c>
      <c r="F59" s="485">
        <f t="shared" si="23"/>
        <v>0</v>
      </c>
      <c r="G59" s="486">
        <f t="shared" si="21"/>
        <v>2030</v>
      </c>
      <c r="H59" s="455">
        <f t="shared" si="22"/>
        <v>2030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2:16" ht="12.5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2:16" ht="12.5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2:16" ht="12.5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2:16" ht="12.5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2:16" ht="12.5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2:16" ht="12.5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2:16" ht="12.5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2:16" ht="12.5">
      <c r="C73" s="346" t="s">
        <v>77</v>
      </c>
      <c r="D73" s="347"/>
      <c r="E73" s="347">
        <f>SUM(E17:E72)</f>
        <v>84424</v>
      </c>
      <c r="F73" s="347"/>
      <c r="G73" s="347">
        <f>SUM(G17:G72)</f>
        <v>289744.77354489127</v>
      </c>
      <c r="H73" s="347">
        <f>SUM(H17:H72)</f>
        <v>289744.77354489127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7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8467.8802590192263</v>
      </c>
      <c r="N87" s="508">
        <f>IF(J92&lt;D11,0,VLOOKUP(J92,C17:O72,11))</f>
        <v>8467.8802590192263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8984.8276586704978</v>
      </c>
      <c r="N88" s="512">
        <f>IF(J92&lt;D11,0,VLOOKUP(J92,C99:P154,7))</f>
        <v>8984.8276586704978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- Elk City 69 kV line (CT Upgrades)*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516.94739965127155</v>
      </c>
      <c r="N89" s="517">
        <f>+N88-N87</f>
        <v>516.94739965127155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TP2007015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84424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2059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2007</v>
      </c>
      <c r="D99" s="473">
        <v>0</v>
      </c>
      <c r="E99" s="480">
        <v>0</v>
      </c>
      <c r="F99" s="479">
        <v>84424</v>
      </c>
      <c r="G99" s="537">
        <v>42212</v>
      </c>
      <c r="H99" s="538">
        <v>0</v>
      </c>
      <c r="I99" s="539">
        <v>0</v>
      </c>
      <c r="J99" s="478">
        <f t="shared" ref="J99:J130" si="28">+I99-H99</f>
        <v>0</v>
      </c>
      <c r="K99" s="478"/>
      <c r="L99" s="554">
        <v>0</v>
      </c>
      <c r="M99" s="477">
        <f t="shared" ref="M99:M130" si="29">IF(L99&lt;&gt;0,+H99-L99,0)</f>
        <v>0</v>
      </c>
      <c r="N99" s="554">
        <v>0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 ht="12.5">
      <c r="B100" s="160" t="str">
        <f>IF(D100=F99,"","IU")</f>
        <v/>
      </c>
      <c r="C100" s="472">
        <f>IF(D93="","-",+C99+1)</f>
        <v>2008</v>
      </c>
      <c r="D100" s="473">
        <v>84424</v>
      </c>
      <c r="E100" s="480">
        <v>1593</v>
      </c>
      <c r="F100" s="479">
        <v>82831</v>
      </c>
      <c r="G100" s="479">
        <v>83628</v>
      </c>
      <c r="H100" s="480">
        <v>14877</v>
      </c>
      <c r="I100" s="481">
        <v>14877</v>
      </c>
      <c r="J100" s="478">
        <f t="shared" si="28"/>
        <v>0</v>
      </c>
      <c r="K100" s="478"/>
      <c r="L100" s="476">
        <v>14877</v>
      </c>
      <c r="M100" s="478">
        <f t="shared" si="29"/>
        <v>0</v>
      </c>
      <c r="N100" s="476">
        <v>14877</v>
      </c>
      <c r="O100" s="478">
        <f t="shared" si="30"/>
        <v>0</v>
      </c>
      <c r="P100" s="478">
        <f t="shared" si="31"/>
        <v>0</v>
      </c>
    </row>
    <row r="101" spans="1:16" ht="12.5">
      <c r="B101" s="160" t="str">
        <f t="shared" ref="B101:B154" si="32">IF(D101=F100,"","IU")</f>
        <v/>
      </c>
      <c r="C101" s="472">
        <f>IF(D93="","-",+C100+1)</f>
        <v>2009</v>
      </c>
      <c r="D101" s="473">
        <v>82831</v>
      </c>
      <c r="E101" s="480">
        <v>1508</v>
      </c>
      <c r="F101" s="479">
        <v>81323</v>
      </c>
      <c r="G101" s="479">
        <v>82077</v>
      </c>
      <c r="H101" s="480">
        <v>13508.337143636172</v>
      </c>
      <c r="I101" s="481">
        <v>13508.337143636172</v>
      </c>
      <c r="J101" s="478">
        <f t="shared" si="28"/>
        <v>0</v>
      </c>
      <c r="K101" s="478"/>
      <c r="L101" s="540">
        <f t="shared" ref="L101:L106" si="33">H101</f>
        <v>13508.337143636172</v>
      </c>
      <c r="M101" s="541">
        <f t="shared" si="29"/>
        <v>0</v>
      </c>
      <c r="N101" s="540">
        <f t="shared" ref="N101:N106" si="34">I101</f>
        <v>13508.337143636172</v>
      </c>
      <c r="O101" s="478">
        <f t="shared" si="30"/>
        <v>0</v>
      </c>
      <c r="P101" s="478">
        <f t="shared" si="31"/>
        <v>0</v>
      </c>
    </row>
    <row r="102" spans="1:16" ht="12.5">
      <c r="B102" s="160" t="str">
        <f t="shared" si="32"/>
        <v/>
      </c>
      <c r="C102" s="472">
        <f>IF(D93="","-",+C101+1)</f>
        <v>2010</v>
      </c>
      <c r="D102" s="473">
        <v>81323</v>
      </c>
      <c r="E102" s="480">
        <v>1655</v>
      </c>
      <c r="F102" s="479">
        <v>79668</v>
      </c>
      <c r="G102" s="479">
        <v>80495.5</v>
      </c>
      <c r="H102" s="480">
        <v>14599.901682354179</v>
      </c>
      <c r="I102" s="481">
        <v>14599.901682354179</v>
      </c>
      <c r="J102" s="478">
        <f t="shared" si="28"/>
        <v>0</v>
      </c>
      <c r="K102" s="478"/>
      <c r="L102" s="540">
        <f t="shared" si="33"/>
        <v>14599.901682354179</v>
      </c>
      <c r="M102" s="541">
        <f t="shared" si="29"/>
        <v>0</v>
      </c>
      <c r="N102" s="540">
        <f t="shared" si="34"/>
        <v>14599.901682354179</v>
      </c>
      <c r="O102" s="478">
        <f t="shared" si="30"/>
        <v>0</v>
      </c>
      <c r="P102" s="478">
        <f t="shared" si="31"/>
        <v>0</v>
      </c>
    </row>
    <row r="103" spans="1:16" ht="12.5">
      <c r="B103" s="160" t="str">
        <f t="shared" si="32"/>
        <v/>
      </c>
      <c r="C103" s="472">
        <f>IF(D93="","-",+C102+1)</f>
        <v>2011</v>
      </c>
      <c r="D103" s="473">
        <v>79668</v>
      </c>
      <c r="E103" s="480">
        <v>1624</v>
      </c>
      <c r="F103" s="479">
        <v>78044</v>
      </c>
      <c r="G103" s="479">
        <v>78856</v>
      </c>
      <c r="H103" s="480">
        <v>12649.128461660426</v>
      </c>
      <c r="I103" s="481">
        <v>12649.128461660426</v>
      </c>
      <c r="J103" s="478">
        <f t="shared" si="28"/>
        <v>0</v>
      </c>
      <c r="K103" s="478"/>
      <c r="L103" s="540">
        <f t="shared" si="33"/>
        <v>12649.128461660426</v>
      </c>
      <c r="M103" s="541">
        <f t="shared" si="29"/>
        <v>0</v>
      </c>
      <c r="N103" s="540">
        <f t="shared" si="34"/>
        <v>12649.128461660426</v>
      </c>
      <c r="O103" s="478">
        <f t="shared" si="30"/>
        <v>0</v>
      </c>
      <c r="P103" s="478">
        <f t="shared" si="31"/>
        <v>0</v>
      </c>
    </row>
    <row r="104" spans="1:16" ht="12.5">
      <c r="B104" s="160" t="str">
        <f t="shared" si="32"/>
        <v/>
      </c>
      <c r="C104" s="472">
        <f>IF(D93="","-",+C103+1)</f>
        <v>2012</v>
      </c>
      <c r="D104" s="473">
        <v>78044</v>
      </c>
      <c r="E104" s="480">
        <v>1624</v>
      </c>
      <c r="F104" s="479">
        <v>76420</v>
      </c>
      <c r="G104" s="479">
        <v>77232</v>
      </c>
      <c r="H104" s="480">
        <v>12734.246570183563</v>
      </c>
      <c r="I104" s="481">
        <v>12734.246570183563</v>
      </c>
      <c r="J104" s="478">
        <v>0</v>
      </c>
      <c r="K104" s="478"/>
      <c r="L104" s="540">
        <f t="shared" si="33"/>
        <v>12734.246570183563</v>
      </c>
      <c r="M104" s="541">
        <f t="shared" ref="M104:M109" si="35">IF(L104&lt;&gt;0,+H104-L104,0)</f>
        <v>0</v>
      </c>
      <c r="N104" s="540">
        <f t="shared" si="34"/>
        <v>12734.246570183563</v>
      </c>
      <c r="O104" s="478">
        <f t="shared" ref="O104:O109" si="36">IF(N104&lt;&gt;0,+I104-N104,0)</f>
        <v>0</v>
      </c>
      <c r="P104" s="478">
        <f t="shared" ref="P104:P109" si="37">+O104-M104</f>
        <v>0</v>
      </c>
    </row>
    <row r="105" spans="1:16" ht="12.5">
      <c r="B105" s="160" t="str">
        <f t="shared" si="32"/>
        <v/>
      </c>
      <c r="C105" s="472">
        <f>IF(D93="","-",+C104+1)</f>
        <v>2013</v>
      </c>
      <c r="D105" s="473">
        <v>76420</v>
      </c>
      <c r="E105" s="480">
        <v>1624</v>
      </c>
      <c r="F105" s="479">
        <v>74796</v>
      </c>
      <c r="G105" s="479">
        <v>75608</v>
      </c>
      <c r="H105" s="480">
        <v>12506.984818583547</v>
      </c>
      <c r="I105" s="481">
        <v>12506.984818583547</v>
      </c>
      <c r="J105" s="478">
        <v>0</v>
      </c>
      <c r="K105" s="478"/>
      <c r="L105" s="540">
        <f t="shared" si="33"/>
        <v>12506.984818583547</v>
      </c>
      <c r="M105" s="541">
        <f t="shared" si="35"/>
        <v>0</v>
      </c>
      <c r="N105" s="540">
        <f t="shared" si="34"/>
        <v>12506.984818583547</v>
      </c>
      <c r="O105" s="478">
        <f t="shared" si="36"/>
        <v>0</v>
      </c>
      <c r="P105" s="478">
        <f t="shared" si="37"/>
        <v>0</v>
      </c>
    </row>
    <row r="106" spans="1:16" ht="12.5">
      <c r="B106" s="160" t="str">
        <f t="shared" si="32"/>
        <v/>
      </c>
      <c r="C106" s="472">
        <f>IF(D93="","-",+C105+1)</f>
        <v>2014</v>
      </c>
      <c r="D106" s="473">
        <v>74796</v>
      </c>
      <c r="E106" s="480">
        <v>1624</v>
      </c>
      <c r="F106" s="479">
        <v>73172</v>
      </c>
      <c r="G106" s="479">
        <v>73984</v>
      </c>
      <c r="H106" s="480">
        <v>12025.847971361507</v>
      </c>
      <c r="I106" s="481">
        <v>12025.847971361507</v>
      </c>
      <c r="J106" s="478">
        <v>0</v>
      </c>
      <c r="K106" s="478"/>
      <c r="L106" s="540">
        <f t="shared" si="33"/>
        <v>12025.847971361507</v>
      </c>
      <c r="M106" s="541">
        <f t="shared" si="35"/>
        <v>0</v>
      </c>
      <c r="N106" s="540">
        <f t="shared" si="34"/>
        <v>12025.847971361507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2"/>
        <v/>
      </c>
      <c r="C107" s="472">
        <f>IF(D93="","-",+C106+1)</f>
        <v>2015</v>
      </c>
      <c r="D107" s="473">
        <v>73172</v>
      </c>
      <c r="E107" s="480">
        <v>1624</v>
      </c>
      <c r="F107" s="479">
        <v>71548</v>
      </c>
      <c r="G107" s="479">
        <v>72360</v>
      </c>
      <c r="H107" s="480">
        <v>11496.940196929139</v>
      </c>
      <c r="I107" s="481">
        <v>11496.940196929139</v>
      </c>
      <c r="J107" s="478">
        <f t="shared" si="28"/>
        <v>0</v>
      </c>
      <c r="K107" s="478"/>
      <c r="L107" s="540">
        <f t="shared" ref="L107:L112" si="38">H107</f>
        <v>11496.940196929139</v>
      </c>
      <c r="M107" s="541">
        <f t="shared" si="35"/>
        <v>0</v>
      </c>
      <c r="N107" s="540">
        <f t="shared" ref="N107:N112" si="39">I107</f>
        <v>11496.940196929139</v>
      </c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2"/>
        <v/>
      </c>
      <c r="C108" s="472">
        <f>IF(D93="","-",+C107+1)</f>
        <v>2016</v>
      </c>
      <c r="D108" s="473">
        <v>71548</v>
      </c>
      <c r="E108" s="480">
        <v>1835</v>
      </c>
      <c r="F108" s="479">
        <v>69713</v>
      </c>
      <c r="G108" s="479">
        <v>70630.5</v>
      </c>
      <c r="H108" s="480">
        <v>10940.383800869789</v>
      </c>
      <c r="I108" s="481">
        <v>10940.383800869789</v>
      </c>
      <c r="J108" s="478">
        <f t="shared" si="28"/>
        <v>0</v>
      </c>
      <c r="K108" s="478"/>
      <c r="L108" s="540">
        <f t="shared" si="38"/>
        <v>10940.383800869789</v>
      </c>
      <c r="M108" s="541">
        <f t="shared" si="35"/>
        <v>0</v>
      </c>
      <c r="N108" s="540">
        <f t="shared" si="39"/>
        <v>10940.383800869789</v>
      </c>
      <c r="O108" s="478">
        <f t="shared" si="36"/>
        <v>0</v>
      </c>
      <c r="P108" s="478">
        <f t="shared" si="37"/>
        <v>0</v>
      </c>
    </row>
    <row r="109" spans="1:16" ht="12.5">
      <c r="B109" s="160" t="str">
        <f t="shared" si="32"/>
        <v/>
      </c>
      <c r="C109" s="472">
        <f>IF(D93="","-",+C108+1)</f>
        <v>2017</v>
      </c>
      <c r="D109" s="473">
        <v>69713</v>
      </c>
      <c r="E109" s="480">
        <v>1835</v>
      </c>
      <c r="F109" s="479">
        <v>67878</v>
      </c>
      <c r="G109" s="479">
        <v>68795.5</v>
      </c>
      <c r="H109" s="480">
        <v>10561.882642914878</v>
      </c>
      <c r="I109" s="481">
        <v>10561.882642914878</v>
      </c>
      <c r="J109" s="478">
        <f t="shared" si="28"/>
        <v>0</v>
      </c>
      <c r="K109" s="478"/>
      <c r="L109" s="540">
        <f t="shared" si="38"/>
        <v>10561.882642914878</v>
      </c>
      <c r="M109" s="541">
        <f t="shared" si="35"/>
        <v>0</v>
      </c>
      <c r="N109" s="540">
        <f t="shared" si="39"/>
        <v>10561.882642914878</v>
      </c>
      <c r="O109" s="478">
        <f t="shared" si="36"/>
        <v>0</v>
      </c>
      <c r="P109" s="478">
        <f t="shared" si="37"/>
        <v>0</v>
      </c>
    </row>
    <row r="110" spans="1:16" ht="12.5">
      <c r="B110" s="160" t="str">
        <f t="shared" si="32"/>
        <v/>
      </c>
      <c r="C110" s="472">
        <f>IF(D93="","-",+C109+1)</f>
        <v>2018</v>
      </c>
      <c r="D110" s="473">
        <v>67878</v>
      </c>
      <c r="E110" s="480">
        <v>1963</v>
      </c>
      <c r="F110" s="479">
        <v>65915</v>
      </c>
      <c r="G110" s="479">
        <v>66896.5</v>
      </c>
      <c r="H110" s="480">
        <v>8835.6498462369182</v>
      </c>
      <c r="I110" s="481">
        <v>8835.6498462369182</v>
      </c>
      <c r="J110" s="478">
        <f t="shared" si="28"/>
        <v>0</v>
      </c>
      <c r="K110" s="478"/>
      <c r="L110" s="540">
        <f t="shared" si="38"/>
        <v>8835.6498462369182</v>
      </c>
      <c r="M110" s="541">
        <f t="shared" ref="M110" si="40">IF(L110&lt;&gt;0,+H110-L110,0)</f>
        <v>0</v>
      </c>
      <c r="N110" s="540">
        <f t="shared" si="39"/>
        <v>8835.6498462369182</v>
      </c>
      <c r="O110" s="478">
        <f t="shared" ref="O110" si="41">IF(N110&lt;&gt;0,+I110-N110,0)</f>
        <v>0</v>
      </c>
      <c r="P110" s="478">
        <f t="shared" ref="P110" si="42">+O110-M110</f>
        <v>0</v>
      </c>
    </row>
    <row r="111" spans="1:16" ht="12.5">
      <c r="B111" s="160" t="str">
        <f t="shared" si="32"/>
        <v/>
      </c>
      <c r="C111" s="472">
        <f>IF(D93="","-",+C110+1)</f>
        <v>2019</v>
      </c>
      <c r="D111" s="473">
        <v>65915</v>
      </c>
      <c r="E111" s="480">
        <v>2059</v>
      </c>
      <c r="F111" s="479">
        <v>63856</v>
      </c>
      <c r="G111" s="479">
        <v>64885.5</v>
      </c>
      <c r="H111" s="480">
        <v>8749.6051392547379</v>
      </c>
      <c r="I111" s="481">
        <v>8749.6051392547379</v>
      </c>
      <c r="J111" s="478">
        <f t="shared" si="28"/>
        <v>0</v>
      </c>
      <c r="K111" s="478"/>
      <c r="L111" s="540">
        <f t="shared" si="38"/>
        <v>8749.6051392547379</v>
      </c>
      <c r="M111" s="541">
        <f t="shared" ref="M111:M112" si="43">IF(L111&lt;&gt;0,+H111-L111,0)</f>
        <v>0</v>
      </c>
      <c r="N111" s="540">
        <f t="shared" si="39"/>
        <v>8749.6051392547379</v>
      </c>
      <c r="O111" s="478">
        <f t="shared" si="30"/>
        <v>0</v>
      </c>
      <c r="P111" s="478">
        <f t="shared" si="31"/>
        <v>0</v>
      </c>
    </row>
    <row r="112" spans="1:16" ht="12.5">
      <c r="B112" s="160" t="str">
        <f t="shared" si="32"/>
        <v/>
      </c>
      <c r="C112" s="472">
        <f>IF(D93="","-",+C111+1)</f>
        <v>2020</v>
      </c>
      <c r="D112" s="473">
        <v>63856</v>
      </c>
      <c r="E112" s="480">
        <v>1963</v>
      </c>
      <c r="F112" s="479">
        <v>61893</v>
      </c>
      <c r="G112" s="479">
        <v>62874.5</v>
      </c>
      <c r="H112" s="480">
        <v>9212.2569908153564</v>
      </c>
      <c r="I112" s="481">
        <v>9212.2569908153564</v>
      </c>
      <c r="J112" s="478">
        <f t="shared" si="28"/>
        <v>0</v>
      </c>
      <c r="K112" s="478"/>
      <c r="L112" s="540">
        <f t="shared" si="38"/>
        <v>9212.2569908153564</v>
      </c>
      <c r="M112" s="541">
        <f t="shared" si="43"/>
        <v>0</v>
      </c>
      <c r="N112" s="540">
        <f t="shared" si="39"/>
        <v>9212.2569908153564</v>
      </c>
      <c r="O112" s="478">
        <f t="shared" si="30"/>
        <v>0</v>
      </c>
      <c r="P112" s="478">
        <f t="shared" si="31"/>
        <v>0</v>
      </c>
    </row>
    <row r="113" spans="2:16" ht="12.5">
      <c r="B113" s="160" t="str">
        <f t="shared" si="32"/>
        <v/>
      </c>
      <c r="C113" s="472">
        <f>IF(D93="","-",+C112+1)</f>
        <v>2021</v>
      </c>
      <c r="D113" s="346">
        <f>IF(F112+SUM(E$99:E112)=D$92,F112,D$92-SUM(E$99:E112))</f>
        <v>61893</v>
      </c>
      <c r="E113" s="486">
        <f>IF(+J96&lt;F112,J96,D113)</f>
        <v>2059</v>
      </c>
      <c r="F113" s="485">
        <f t="shared" ref="F113:F129" si="44">+D113-E113</f>
        <v>59834</v>
      </c>
      <c r="G113" s="485">
        <f t="shared" ref="G113:G129" si="45">+(F113+D113)/2</f>
        <v>60863.5</v>
      </c>
      <c r="H113" s="488">
        <f t="shared" ref="H113:H154" si="46">+J$94*G113+E113</f>
        <v>8984.8276586704978</v>
      </c>
      <c r="I113" s="542">
        <f t="shared" ref="I113:I154" si="47">+J$95*G113+E113</f>
        <v>8984.8276586704978</v>
      </c>
      <c r="J113" s="478">
        <f t="shared" si="28"/>
        <v>0</v>
      </c>
      <c r="K113" s="478"/>
      <c r="L113" s="487"/>
      <c r="M113" s="478">
        <f t="shared" si="29"/>
        <v>0</v>
      </c>
      <c r="N113" s="487"/>
      <c r="O113" s="478">
        <f t="shared" si="30"/>
        <v>0</v>
      </c>
      <c r="P113" s="478">
        <f t="shared" si="31"/>
        <v>0</v>
      </c>
    </row>
    <row r="114" spans="2:16" ht="12.5">
      <c r="B114" s="160" t="str">
        <f t="shared" si="32"/>
        <v/>
      </c>
      <c r="C114" s="472">
        <f>IF(D93="","-",+C113+1)</f>
        <v>2022</v>
      </c>
      <c r="D114" s="346">
        <f>IF(F113+SUM(E$99:E113)=D$92,F113,D$92-SUM(E$99:E113))</f>
        <v>59834</v>
      </c>
      <c r="E114" s="486">
        <f>IF(+J96&lt;F113,J96,D114)</f>
        <v>2059</v>
      </c>
      <c r="F114" s="485">
        <f t="shared" si="44"/>
        <v>57775</v>
      </c>
      <c r="G114" s="485">
        <f t="shared" si="45"/>
        <v>58804.5</v>
      </c>
      <c r="H114" s="488">
        <f t="shared" si="46"/>
        <v>8750.5282978187133</v>
      </c>
      <c r="I114" s="542">
        <f t="shared" si="47"/>
        <v>8750.5282978187133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 ht="12.5">
      <c r="B115" s="160" t="str">
        <f t="shared" si="32"/>
        <v/>
      </c>
      <c r="C115" s="472">
        <f>IF(D93="","-",+C114+1)</f>
        <v>2023</v>
      </c>
      <c r="D115" s="346">
        <f>IF(F114+SUM(E$99:E114)=D$92,F114,D$92-SUM(E$99:E114))</f>
        <v>57775</v>
      </c>
      <c r="E115" s="486">
        <f>IF(+J96&lt;F114,J96,D115)</f>
        <v>2059</v>
      </c>
      <c r="F115" s="485">
        <f t="shared" si="44"/>
        <v>55716</v>
      </c>
      <c r="G115" s="485">
        <f t="shared" si="45"/>
        <v>56745.5</v>
      </c>
      <c r="H115" s="488">
        <f t="shared" si="46"/>
        <v>8516.2289369669306</v>
      </c>
      <c r="I115" s="542">
        <f t="shared" si="47"/>
        <v>8516.2289369669306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 ht="12.5">
      <c r="B116" s="160" t="str">
        <f t="shared" si="32"/>
        <v/>
      </c>
      <c r="C116" s="472">
        <f>IF(D93="","-",+C115+1)</f>
        <v>2024</v>
      </c>
      <c r="D116" s="346">
        <f>IF(F115+SUM(E$99:E115)=D$92,F115,D$92-SUM(E$99:E115))</f>
        <v>55716</v>
      </c>
      <c r="E116" s="486">
        <f>IF(+J96&lt;F115,J96,D116)</f>
        <v>2059</v>
      </c>
      <c r="F116" s="485">
        <f t="shared" si="44"/>
        <v>53657</v>
      </c>
      <c r="G116" s="485">
        <f t="shared" si="45"/>
        <v>54686.5</v>
      </c>
      <c r="H116" s="488">
        <f t="shared" si="46"/>
        <v>8281.9295761151443</v>
      </c>
      <c r="I116" s="542">
        <f t="shared" si="47"/>
        <v>8281.9295761151443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 ht="12.5">
      <c r="B117" s="160" t="str">
        <f t="shared" si="32"/>
        <v/>
      </c>
      <c r="C117" s="472">
        <f>IF(D93="","-",+C116+1)</f>
        <v>2025</v>
      </c>
      <c r="D117" s="346">
        <f>IF(F116+SUM(E$99:E116)=D$92,F116,D$92-SUM(E$99:E116))</f>
        <v>53657</v>
      </c>
      <c r="E117" s="486">
        <f>IF(+J96&lt;F116,J96,D117)</f>
        <v>2059</v>
      </c>
      <c r="F117" s="485">
        <f t="shared" si="44"/>
        <v>51598</v>
      </c>
      <c r="G117" s="485">
        <f t="shared" si="45"/>
        <v>52627.5</v>
      </c>
      <c r="H117" s="488">
        <f t="shared" si="46"/>
        <v>8047.6302152633616</v>
      </c>
      <c r="I117" s="542">
        <f t="shared" si="47"/>
        <v>8047.6302152633616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 ht="12.5">
      <c r="B118" s="160" t="str">
        <f t="shared" si="32"/>
        <v/>
      </c>
      <c r="C118" s="472">
        <f>IF(D93="","-",+C117+1)</f>
        <v>2026</v>
      </c>
      <c r="D118" s="346">
        <f>IF(F117+SUM(E$99:E117)=D$92,F117,D$92-SUM(E$99:E117))</f>
        <v>51598</v>
      </c>
      <c r="E118" s="486">
        <f>IF(+J96&lt;F117,J96,D118)</f>
        <v>2059</v>
      </c>
      <c r="F118" s="485">
        <f t="shared" si="44"/>
        <v>49539</v>
      </c>
      <c r="G118" s="485">
        <f t="shared" si="45"/>
        <v>50568.5</v>
      </c>
      <c r="H118" s="488">
        <f t="shared" si="46"/>
        <v>7813.3308544115771</v>
      </c>
      <c r="I118" s="542">
        <f t="shared" si="47"/>
        <v>7813.3308544115771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 ht="12.5">
      <c r="B119" s="160" t="str">
        <f t="shared" si="32"/>
        <v/>
      </c>
      <c r="C119" s="472">
        <f>IF(D93="","-",+C118+1)</f>
        <v>2027</v>
      </c>
      <c r="D119" s="346">
        <f>IF(F118+SUM(E$99:E118)=D$92,F118,D$92-SUM(E$99:E118))</f>
        <v>49539</v>
      </c>
      <c r="E119" s="486">
        <f>IF(+J96&lt;F118,J96,D119)</f>
        <v>2059</v>
      </c>
      <c r="F119" s="485">
        <f t="shared" si="44"/>
        <v>47480</v>
      </c>
      <c r="G119" s="485">
        <f t="shared" si="45"/>
        <v>48509.5</v>
      </c>
      <c r="H119" s="488">
        <f t="shared" si="46"/>
        <v>7579.0314935597935</v>
      </c>
      <c r="I119" s="542">
        <f t="shared" si="47"/>
        <v>7579.0314935597935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 ht="12.5">
      <c r="B120" s="160" t="str">
        <f t="shared" si="32"/>
        <v/>
      </c>
      <c r="C120" s="472">
        <f>IF(D93="","-",+C119+1)</f>
        <v>2028</v>
      </c>
      <c r="D120" s="346">
        <f>IF(F119+SUM(E$99:E119)=D$92,F119,D$92-SUM(E$99:E119))</f>
        <v>47480</v>
      </c>
      <c r="E120" s="486">
        <f>IF(+J96&lt;F119,J96,D120)</f>
        <v>2059</v>
      </c>
      <c r="F120" s="485">
        <f t="shared" si="44"/>
        <v>45421</v>
      </c>
      <c r="G120" s="485">
        <f t="shared" si="45"/>
        <v>46450.5</v>
      </c>
      <c r="H120" s="488">
        <f t="shared" si="46"/>
        <v>7344.7321327080099</v>
      </c>
      <c r="I120" s="542">
        <f t="shared" si="47"/>
        <v>7344.7321327080099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 ht="12.5">
      <c r="B121" s="160" t="str">
        <f t="shared" si="32"/>
        <v/>
      </c>
      <c r="C121" s="472">
        <f>IF(D93="","-",+C120+1)</f>
        <v>2029</v>
      </c>
      <c r="D121" s="346">
        <f>IF(F120+SUM(E$99:E120)=D$92,F120,D$92-SUM(E$99:E120))</f>
        <v>45421</v>
      </c>
      <c r="E121" s="486">
        <f>IF(+J96&lt;F120,J96,D121)</f>
        <v>2059</v>
      </c>
      <c r="F121" s="485">
        <f t="shared" si="44"/>
        <v>43362</v>
      </c>
      <c r="G121" s="485">
        <f t="shared" si="45"/>
        <v>44391.5</v>
      </c>
      <c r="H121" s="488">
        <f t="shared" si="46"/>
        <v>7110.4327718562254</v>
      </c>
      <c r="I121" s="542">
        <f t="shared" si="47"/>
        <v>7110.4327718562254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 ht="12.5">
      <c r="B122" s="160" t="str">
        <f t="shared" si="32"/>
        <v/>
      </c>
      <c r="C122" s="472">
        <f>IF(D93="","-",+C121+1)</f>
        <v>2030</v>
      </c>
      <c r="D122" s="346">
        <f>IF(F121+SUM(E$99:E121)=D$92,F121,D$92-SUM(E$99:E121))</f>
        <v>43362</v>
      </c>
      <c r="E122" s="486">
        <f>IF(+J96&lt;F121,J96,D122)</f>
        <v>2059</v>
      </c>
      <c r="F122" s="485">
        <f t="shared" si="44"/>
        <v>41303</v>
      </c>
      <c r="G122" s="485">
        <f t="shared" si="45"/>
        <v>42332.5</v>
      </c>
      <c r="H122" s="488">
        <f t="shared" si="46"/>
        <v>6876.1334110044418</v>
      </c>
      <c r="I122" s="542">
        <f t="shared" si="47"/>
        <v>6876.1334110044418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 ht="12.5">
      <c r="B123" s="160" t="str">
        <f t="shared" si="32"/>
        <v/>
      </c>
      <c r="C123" s="472">
        <f>IF(D93="","-",+C122+1)</f>
        <v>2031</v>
      </c>
      <c r="D123" s="346">
        <f>IF(F122+SUM(E$99:E122)=D$92,F122,D$92-SUM(E$99:E122))</f>
        <v>41303</v>
      </c>
      <c r="E123" s="486">
        <f>IF(+J96&lt;F122,J96,D123)</f>
        <v>2059</v>
      </c>
      <c r="F123" s="485">
        <f t="shared" si="44"/>
        <v>39244</v>
      </c>
      <c r="G123" s="485">
        <f t="shared" si="45"/>
        <v>40273.5</v>
      </c>
      <c r="H123" s="488">
        <f t="shared" si="46"/>
        <v>6641.8340501526573</v>
      </c>
      <c r="I123" s="542">
        <f t="shared" si="47"/>
        <v>6641.8340501526573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 ht="12.5">
      <c r="B124" s="160" t="str">
        <f t="shared" si="32"/>
        <v/>
      </c>
      <c r="C124" s="472">
        <f>IF(D93="","-",+C123+1)</f>
        <v>2032</v>
      </c>
      <c r="D124" s="346">
        <f>IF(F123+SUM(E$99:E123)=D$92,F123,D$92-SUM(E$99:E123))</f>
        <v>39244</v>
      </c>
      <c r="E124" s="486">
        <f>IF(+J96&lt;F123,J96,D124)</f>
        <v>2059</v>
      </c>
      <c r="F124" s="485">
        <f t="shared" si="44"/>
        <v>37185</v>
      </c>
      <c r="G124" s="485">
        <f t="shared" si="45"/>
        <v>38214.5</v>
      </c>
      <c r="H124" s="488">
        <f t="shared" si="46"/>
        <v>6407.5346893008737</v>
      </c>
      <c r="I124" s="542">
        <f t="shared" si="47"/>
        <v>6407.5346893008737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 ht="12.5">
      <c r="B125" s="160" t="str">
        <f t="shared" si="32"/>
        <v/>
      </c>
      <c r="C125" s="472">
        <f>IF(D93="","-",+C124+1)</f>
        <v>2033</v>
      </c>
      <c r="D125" s="346">
        <f>IF(F124+SUM(E$99:E124)=D$92,F124,D$92-SUM(E$99:E124))</f>
        <v>37185</v>
      </c>
      <c r="E125" s="486">
        <f>IF(+J96&lt;F124,J96,D125)</f>
        <v>2059</v>
      </c>
      <c r="F125" s="485">
        <f t="shared" si="44"/>
        <v>35126</v>
      </c>
      <c r="G125" s="485">
        <f t="shared" si="45"/>
        <v>36155.5</v>
      </c>
      <c r="H125" s="488">
        <f t="shared" si="46"/>
        <v>6173.23532844909</v>
      </c>
      <c r="I125" s="542">
        <f t="shared" si="47"/>
        <v>6173.23532844909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 ht="12.5">
      <c r="B126" s="160" t="str">
        <f t="shared" si="32"/>
        <v/>
      </c>
      <c r="C126" s="472">
        <f>IF(D93="","-",+C125+1)</f>
        <v>2034</v>
      </c>
      <c r="D126" s="346">
        <f>IF(F125+SUM(E$99:E125)=D$92,F125,D$92-SUM(E$99:E125))</f>
        <v>35126</v>
      </c>
      <c r="E126" s="486">
        <f>IF(+J96&lt;F125,J96,D126)</f>
        <v>2059</v>
      </c>
      <c r="F126" s="485">
        <f t="shared" si="44"/>
        <v>33067</v>
      </c>
      <c r="G126" s="485">
        <f t="shared" si="45"/>
        <v>34096.5</v>
      </c>
      <c r="H126" s="488">
        <f t="shared" si="46"/>
        <v>5938.9359675973055</v>
      </c>
      <c r="I126" s="542">
        <f t="shared" si="47"/>
        <v>5938.9359675973055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 ht="12.5">
      <c r="B127" s="160" t="str">
        <f t="shared" si="32"/>
        <v/>
      </c>
      <c r="C127" s="472">
        <f>IF(D93="","-",+C126+1)</f>
        <v>2035</v>
      </c>
      <c r="D127" s="346">
        <f>IF(F126+SUM(E$99:E126)=D$92,F126,D$92-SUM(E$99:E126))</f>
        <v>33067</v>
      </c>
      <c r="E127" s="486">
        <f>IF(+J96&lt;F126,J96,D127)</f>
        <v>2059</v>
      </c>
      <c r="F127" s="485">
        <f t="shared" si="44"/>
        <v>31008</v>
      </c>
      <c r="G127" s="485">
        <f t="shared" si="45"/>
        <v>32037.5</v>
      </c>
      <c r="H127" s="488">
        <f t="shared" si="46"/>
        <v>5704.6366067455219</v>
      </c>
      <c r="I127" s="542">
        <f t="shared" si="47"/>
        <v>5704.6366067455219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 ht="12.5">
      <c r="B128" s="160" t="str">
        <f t="shared" si="32"/>
        <v/>
      </c>
      <c r="C128" s="472">
        <f>IF(D93="","-",+C127+1)</f>
        <v>2036</v>
      </c>
      <c r="D128" s="346">
        <f>IF(F127+SUM(E$99:E127)=D$92,F127,D$92-SUM(E$99:E127))</f>
        <v>31008</v>
      </c>
      <c r="E128" s="486">
        <f>IF(+J96&lt;F127,J96,D128)</f>
        <v>2059</v>
      </c>
      <c r="F128" s="485">
        <f t="shared" si="44"/>
        <v>28949</v>
      </c>
      <c r="G128" s="485">
        <f t="shared" si="45"/>
        <v>29978.5</v>
      </c>
      <c r="H128" s="488">
        <f t="shared" si="46"/>
        <v>5470.3372458937374</v>
      </c>
      <c r="I128" s="542">
        <f t="shared" si="47"/>
        <v>5470.3372458937374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 ht="12.5">
      <c r="B129" s="160" t="str">
        <f t="shared" si="32"/>
        <v/>
      </c>
      <c r="C129" s="472">
        <f>IF(D93="","-",+C128+1)</f>
        <v>2037</v>
      </c>
      <c r="D129" s="346">
        <f>IF(F128+SUM(E$99:E128)=D$92,F128,D$92-SUM(E$99:E128))</f>
        <v>28949</v>
      </c>
      <c r="E129" s="486">
        <f>IF(+J96&lt;F128,J96,D129)</f>
        <v>2059</v>
      </c>
      <c r="F129" s="485">
        <f t="shared" si="44"/>
        <v>26890</v>
      </c>
      <c r="G129" s="485">
        <f t="shared" si="45"/>
        <v>27919.5</v>
      </c>
      <c r="H129" s="488">
        <f t="shared" si="46"/>
        <v>5236.0378850419538</v>
      </c>
      <c r="I129" s="542">
        <f t="shared" si="47"/>
        <v>5236.0378850419538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 ht="12.5">
      <c r="B130" s="160" t="str">
        <f t="shared" si="32"/>
        <v/>
      </c>
      <c r="C130" s="472">
        <f>IF(D93="","-",+C129+1)</f>
        <v>2038</v>
      </c>
      <c r="D130" s="346">
        <f>IF(F129+SUM(E$99:E129)=D$92,F129,D$92-SUM(E$99:E129))</f>
        <v>26890</v>
      </c>
      <c r="E130" s="486">
        <f>IF(+J96&lt;F129,J96,D130)</f>
        <v>2059</v>
      </c>
      <c r="F130" s="485">
        <f t="shared" ref="F130:F153" si="48">+D130-E130</f>
        <v>24831</v>
      </c>
      <c r="G130" s="485">
        <f t="shared" ref="G130:G153" si="49">+(F130+D130)/2</f>
        <v>25860.5</v>
      </c>
      <c r="H130" s="488">
        <f t="shared" si="46"/>
        <v>5001.7385241901702</v>
      </c>
      <c r="I130" s="542">
        <f t="shared" si="47"/>
        <v>5001.7385241901702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 ht="12.5">
      <c r="B131" s="160" t="str">
        <f t="shared" si="32"/>
        <v/>
      </c>
      <c r="C131" s="472">
        <f>IF(D93="","-",+C130+1)</f>
        <v>2039</v>
      </c>
      <c r="D131" s="346">
        <f>IF(F130+SUM(E$99:E130)=D$92,F130,D$92-SUM(E$99:E130))</f>
        <v>24831</v>
      </c>
      <c r="E131" s="486">
        <f>IF(+J96&lt;F130,J96,D131)</f>
        <v>2059</v>
      </c>
      <c r="F131" s="485">
        <f t="shared" si="48"/>
        <v>22772</v>
      </c>
      <c r="G131" s="485">
        <f t="shared" si="49"/>
        <v>23801.5</v>
      </c>
      <c r="H131" s="488">
        <f t="shared" si="46"/>
        <v>4767.4391633383857</v>
      </c>
      <c r="I131" s="542">
        <f t="shared" si="47"/>
        <v>4767.4391633383857</v>
      </c>
      <c r="J131" s="478">
        <f t="shared" ref="J131:J154" si="50">+I382-H382</f>
        <v>0</v>
      </c>
      <c r="K131" s="478"/>
      <c r="L131" s="487"/>
      <c r="M131" s="478">
        <f t="shared" ref="M131:M154" si="51">IF(L382&lt;&gt;0,+H382-L382,0)</f>
        <v>0</v>
      </c>
      <c r="N131" s="487"/>
      <c r="O131" s="478">
        <f t="shared" ref="O131:O154" si="52">IF(N382&lt;&gt;0,+I382-N382,0)</f>
        <v>0</v>
      </c>
      <c r="P131" s="478">
        <f t="shared" ref="P131:P154" si="53">+O382-M382</f>
        <v>0</v>
      </c>
    </row>
    <row r="132" spans="2:16" ht="12.5">
      <c r="B132" s="160" t="str">
        <f t="shared" si="32"/>
        <v/>
      </c>
      <c r="C132" s="472">
        <f>IF(D93="","-",+C131+1)</f>
        <v>2040</v>
      </c>
      <c r="D132" s="346">
        <f>IF(F131+SUM(E$99:E131)=D$92,F131,D$92-SUM(E$99:E131))</f>
        <v>22772</v>
      </c>
      <c r="E132" s="486">
        <f>IF(+J96&lt;F131,J96,D132)</f>
        <v>2059</v>
      </c>
      <c r="F132" s="485">
        <f t="shared" si="48"/>
        <v>20713</v>
      </c>
      <c r="G132" s="485">
        <f t="shared" si="49"/>
        <v>21742.5</v>
      </c>
      <c r="H132" s="488">
        <f t="shared" si="46"/>
        <v>4533.1398024866012</v>
      </c>
      <c r="I132" s="542">
        <f t="shared" si="47"/>
        <v>4533.1398024866012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 ht="12.5">
      <c r="B133" s="160" t="str">
        <f t="shared" si="32"/>
        <v/>
      </c>
      <c r="C133" s="472">
        <f>IF(D93="","-",+C132+1)</f>
        <v>2041</v>
      </c>
      <c r="D133" s="346">
        <f>IF(F132+SUM(E$99:E132)=D$92,F132,D$92-SUM(E$99:E132))</f>
        <v>20713</v>
      </c>
      <c r="E133" s="486">
        <f>IF(+J96&lt;F132,J96,D133)</f>
        <v>2059</v>
      </c>
      <c r="F133" s="485">
        <f t="shared" si="48"/>
        <v>18654</v>
      </c>
      <c r="G133" s="485">
        <f t="shared" si="49"/>
        <v>19683.5</v>
      </c>
      <c r="H133" s="488">
        <f t="shared" si="46"/>
        <v>4298.8404416348185</v>
      </c>
      <c r="I133" s="542">
        <f t="shared" si="47"/>
        <v>4298.8404416348185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 ht="12.5">
      <c r="B134" s="160" t="str">
        <f t="shared" si="32"/>
        <v/>
      </c>
      <c r="C134" s="472">
        <f>IF(D93="","-",+C133+1)</f>
        <v>2042</v>
      </c>
      <c r="D134" s="346">
        <f>IF(F133+SUM(E$99:E133)=D$92,F133,D$92-SUM(E$99:E133))</f>
        <v>18654</v>
      </c>
      <c r="E134" s="486">
        <f>IF(+J96&lt;F133,J96,D134)</f>
        <v>2059</v>
      </c>
      <c r="F134" s="485">
        <f t="shared" si="48"/>
        <v>16595</v>
      </c>
      <c r="G134" s="485">
        <f t="shared" si="49"/>
        <v>17624.5</v>
      </c>
      <c r="H134" s="488">
        <f t="shared" si="46"/>
        <v>4064.541080783034</v>
      </c>
      <c r="I134" s="542">
        <f t="shared" si="47"/>
        <v>4064.541080783034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 ht="12.5">
      <c r="B135" s="160" t="str">
        <f t="shared" si="32"/>
        <v/>
      </c>
      <c r="C135" s="472">
        <f>IF(D93="","-",+C134+1)</f>
        <v>2043</v>
      </c>
      <c r="D135" s="346">
        <f>IF(F134+SUM(E$99:E134)=D$92,F134,D$92-SUM(E$99:E134))</f>
        <v>16595</v>
      </c>
      <c r="E135" s="486">
        <f>IF(+J96&lt;F134,J96,D135)</f>
        <v>2059</v>
      </c>
      <c r="F135" s="485">
        <f t="shared" si="48"/>
        <v>14536</v>
      </c>
      <c r="G135" s="485">
        <f t="shared" si="49"/>
        <v>15565.5</v>
      </c>
      <c r="H135" s="488">
        <f t="shared" si="46"/>
        <v>3830.2417199312499</v>
      </c>
      <c r="I135" s="542">
        <f t="shared" si="47"/>
        <v>3830.2417199312499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 ht="12.5">
      <c r="B136" s="160" t="str">
        <f t="shared" si="32"/>
        <v/>
      </c>
      <c r="C136" s="472">
        <f>IF(D93="","-",+C135+1)</f>
        <v>2044</v>
      </c>
      <c r="D136" s="346">
        <f>IF(F135+SUM(E$99:E135)=D$92,F135,D$92-SUM(E$99:E135))</f>
        <v>14536</v>
      </c>
      <c r="E136" s="486">
        <f>IF(+J96&lt;F135,J96,D136)</f>
        <v>2059</v>
      </c>
      <c r="F136" s="485">
        <f t="shared" si="48"/>
        <v>12477</v>
      </c>
      <c r="G136" s="485">
        <f t="shared" si="49"/>
        <v>13506.5</v>
      </c>
      <c r="H136" s="488">
        <f t="shared" si="46"/>
        <v>3595.9423590794659</v>
      </c>
      <c r="I136" s="542">
        <f t="shared" si="47"/>
        <v>3595.9423590794659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 ht="12.5">
      <c r="B137" s="160" t="str">
        <f t="shared" si="32"/>
        <v/>
      </c>
      <c r="C137" s="472">
        <f>IF(D93="","-",+C136+1)</f>
        <v>2045</v>
      </c>
      <c r="D137" s="346">
        <f>IF(F136+SUM(E$99:E136)=D$92,F136,D$92-SUM(E$99:E136))</f>
        <v>12477</v>
      </c>
      <c r="E137" s="486">
        <f>IF(+J96&lt;F136,J96,D137)</f>
        <v>2059</v>
      </c>
      <c r="F137" s="485">
        <f t="shared" si="48"/>
        <v>10418</v>
      </c>
      <c r="G137" s="485">
        <f t="shared" si="49"/>
        <v>11447.5</v>
      </c>
      <c r="H137" s="488">
        <f t="shared" si="46"/>
        <v>3361.6429982276823</v>
      </c>
      <c r="I137" s="542">
        <f t="shared" si="47"/>
        <v>3361.6429982276823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 ht="12.5">
      <c r="B138" s="160" t="str">
        <f t="shared" si="32"/>
        <v/>
      </c>
      <c r="C138" s="472">
        <f>IF(D93="","-",+C137+1)</f>
        <v>2046</v>
      </c>
      <c r="D138" s="346">
        <f>IF(F137+SUM(E$99:E137)=D$92,F137,D$92-SUM(E$99:E137))</f>
        <v>10418</v>
      </c>
      <c r="E138" s="486">
        <f>IF(+J96&lt;F137,J96,D138)</f>
        <v>2059</v>
      </c>
      <c r="F138" s="485">
        <f t="shared" si="48"/>
        <v>8359</v>
      </c>
      <c r="G138" s="485">
        <f t="shared" si="49"/>
        <v>9388.5</v>
      </c>
      <c r="H138" s="488">
        <f t="shared" si="46"/>
        <v>3127.3436373758977</v>
      </c>
      <c r="I138" s="542">
        <f t="shared" si="47"/>
        <v>3127.3436373758977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 ht="12.5">
      <c r="B139" s="160" t="str">
        <f t="shared" si="32"/>
        <v/>
      </c>
      <c r="C139" s="472">
        <f>IF(D93="","-",+C138+1)</f>
        <v>2047</v>
      </c>
      <c r="D139" s="346">
        <f>IF(F138+SUM(E$99:E138)=D$92,F138,D$92-SUM(E$99:E138))</f>
        <v>8359</v>
      </c>
      <c r="E139" s="486">
        <f>IF(+J96&lt;F138,J96,D139)</f>
        <v>2059</v>
      </c>
      <c r="F139" s="485">
        <f t="shared" si="48"/>
        <v>6300</v>
      </c>
      <c r="G139" s="485">
        <f t="shared" si="49"/>
        <v>7329.5</v>
      </c>
      <c r="H139" s="488">
        <f t="shared" si="46"/>
        <v>2893.0442765241141</v>
      </c>
      <c r="I139" s="542">
        <f t="shared" si="47"/>
        <v>2893.0442765241141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 ht="12.5">
      <c r="B140" s="160" t="str">
        <f t="shared" si="32"/>
        <v/>
      </c>
      <c r="C140" s="472">
        <f>IF(D93="","-",+C139+1)</f>
        <v>2048</v>
      </c>
      <c r="D140" s="346">
        <f>IF(F139+SUM(E$99:E139)=D$92,F139,D$92-SUM(E$99:E139))</f>
        <v>6300</v>
      </c>
      <c r="E140" s="486">
        <f>IF(+J96&lt;F139,J96,D140)</f>
        <v>2059</v>
      </c>
      <c r="F140" s="485">
        <f t="shared" si="48"/>
        <v>4241</v>
      </c>
      <c r="G140" s="485">
        <f t="shared" si="49"/>
        <v>5270.5</v>
      </c>
      <c r="H140" s="488">
        <f t="shared" si="46"/>
        <v>2658.7449156723301</v>
      </c>
      <c r="I140" s="542">
        <f t="shared" si="47"/>
        <v>2658.7449156723301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 ht="12.5">
      <c r="B141" s="160" t="str">
        <f t="shared" si="32"/>
        <v/>
      </c>
      <c r="C141" s="472">
        <f>IF(D93="","-",+C140+1)</f>
        <v>2049</v>
      </c>
      <c r="D141" s="346">
        <f>IF(F140+SUM(E$99:E140)=D$92,F140,D$92-SUM(E$99:E140))</f>
        <v>4241</v>
      </c>
      <c r="E141" s="486">
        <f>IF(+J96&lt;F140,J96,D141)</f>
        <v>2059</v>
      </c>
      <c r="F141" s="485">
        <f t="shared" si="48"/>
        <v>2182</v>
      </c>
      <c r="G141" s="485">
        <f t="shared" si="49"/>
        <v>3211.5</v>
      </c>
      <c r="H141" s="488">
        <f t="shared" si="46"/>
        <v>2424.445554820546</v>
      </c>
      <c r="I141" s="542">
        <f t="shared" si="47"/>
        <v>2424.445554820546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 ht="12.5">
      <c r="B142" s="160" t="str">
        <f t="shared" si="32"/>
        <v/>
      </c>
      <c r="C142" s="472">
        <f>IF(D93="","-",+C141+1)</f>
        <v>2050</v>
      </c>
      <c r="D142" s="346">
        <f>IF(F141+SUM(E$99:E141)=D$92,F141,D$92-SUM(E$99:E141))</f>
        <v>2182</v>
      </c>
      <c r="E142" s="486">
        <f>IF(+J96&lt;F141,J96,D142)</f>
        <v>2059</v>
      </c>
      <c r="F142" s="485">
        <f t="shared" si="48"/>
        <v>123</v>
      </c>
      <c r="G142" s="485">
        <f t="shared" si="49"/>
        <v>1152.5</v>
      </c>
      <c r="H142" s="488">
        <f t="shared" si="46"/>
        <v>2190.146193968762</v>
      </c>
      <c r="I142" s="542">
        <f t="shared" si="47"/>
        <v>2190.146193968762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 ht="12.5">
      <c r="B143" s="160" t="str">
        <f t="shared" si="32"/>
        <v/>
      </c>
      <c r="C143" s="472">
        <f>IF(D93="","-",+C142+1)</f>
        <v>2051</v>
      </c>
      <c r="D143" s="346">
        <f>IF(F142+SUM(E$99:E142)=D$92,F142,D$92-SUM(E$99:E142))</f>
        <v>123</v>
      </c>
      <c r="E143" s="486">
        <f>IF(+J96&lt;F142,J96,D143)</f>
        <v>123</v>
      </c>
      <c r="F143" s="485">
        <f t="shared" si="48"/>
        <v>0</v>
      </c>
      <c r="G143" s="485">
        <f t="shared" si="49"/>
        <v>61.5</v>
      </c>
      <c r="H143" s="488">
        <f t="shared" si="46"/>
        <v>129.99825677143502</v>
      </c>
      <c r="I143" s="542">
        <f t="shared" si="47"/>
        <v>129.99825677143502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 ht="12.5">
      <c r="B144" s="160" t="str">
        <f t="shared" si="32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8"/>
        <v>0</v>
      </c>
      <c r="G144" s="485">
        <f t="shared" si="49"/>
        <v>0</v>
      </c>
      <c r="H144" s="488">
        <f t="shared" si="46"/>
        <v>0</v>
      </c>
      <c r="I144" s="542">
        <f t="shared" si="47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 ht="12.5">
      <c r="B145" s="160" t="str">
        <f t="shared" si="32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8"/>
        <v>0</v>
      </c>
      <c r="G145" s="485">
        <f t="shared" si="49"/>
        <v>0</v>
      </c>
      <c r="H145" s="488">
        <f t="shared" si="46"/>
        <v>0</v>
      </c>
      <c r="I145" s="542">
        <f t="shared" si="47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 ht="12.5">
      <c r="B146" s="160" t="str">
        <f t="shared" si="32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8"/>
        <v>0</v>
      </c>
      <c r="G146" s="485">
        <f t="shared" si="49"/>
        <v>0</v>
      </c>
      <c r="H146" s="488">
        <f t="shared" si="46"/>
        <v>0</v>
      </c>
      <c r="I146" s="542">
        <f t="shared" si="47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 ht="12.5">
      <c r="B147" s="160" t="str">
        <f t="shared" si="32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8"/>
        <v>0</v>
      </c>
      <c r="G147" s="485">
        <f t="shared" si="49"/>
        <v>0</v>
      </c>
      <c r="H147" s="488">
        <f t="shared" si="46"/>
        <v>0</v>
      </c>
      <c r="I147" s="542">
        <f t="shared" si="47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 ht="12.5">
      <c r="B148" s="160" t="str">
        <f t="shared" si="32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8"/>
        <v>0</v>
      </c>
      <c r="G148" s="485">
        <f t="shared" si="49"/>
        <v>0</v>
      </c>
      <c r="H148" s="488">
        <f t="shared" si="46"/>
        <v>0</v>
      </c>
      <c r="I148" s="542">
        <f t="shared" si="47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 ht="12.5">
      <c r="B149" s="160" t="str">
        <f t="shared" si="32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8"/>
        <v>0</v>
      </c>
      <c r="G149" s="485">
        <f t="shared" si="49"/>
        <v>0</v>
      </c>
      <c r="H149" s="488">
        <f t="shared" si="46"/>
        <v>0</v>
      </c>
      <c r="I149" s="542">
        <f t="shared" si="47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 ht="12.5">
      <c r="B150" s="160" t="str">
        <f t="shared" si="32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8"/>
        <v>0</v>
      </c>
      <c r="G150" s="485">
        <f t="shared" si="49"/>
        <v>0</v>
      </c>
      <c r="H150" s="488">
        <f t="shared" si="46"/>
        <v>0</v>
      </c>
      <c r="I150" s="542">
        <f t="shared" si="47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 ht="12.5">
      <c r="B151" s="160" t="str">
        <f t="shared" si="32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8"/>
        <v>0</v>
      </c>
      <c r="G151" s="485">
        <f t="shared" si="49"/>
        <v>0</v>
      </c>
      <c r="H151" s="488">
        <f t="shared" si="46"/>
        <v>0</v>
      </c>
      <c r="I151" s="542">
        <f t="shared" si="47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 ht="12.5">
      <c r="B152" s="160" t="str">
        <f t="shared" si="32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8"/>
        <v>0</v>
      </c>
      <c r="G152" s="485">
        <f t="shared" si="49"/>
        <v>0</v>
      </c>
      <c r="H152" s="488">
        <f t="shared" si="46"/>
        <v>0</v>
      </c>
      <c r="I152" s="542">
        <f t="shared" si="47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 ht="12.5">
      <c r="B153" s="160" t="str">
        <f t="shared" si="32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8"/>
        <v>0</v>
      </c>
      <c r="G153" s="485">
        <f t="shared" si="49"/>
        <v>0</v>
      </c>
      <c r="H153" s="488">
        <f t="shared" si="46"/>
        <v>0</v>
      </c>
      <c r="I153" s="542">
        <f t="shared" si="47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" thickBot="1">
      <c r="B154" s="160" t="str">
        <f t="shared" si="32"/>
        <v/>
      </c>
      <c r="C154" s="489">
        <f>IF(D93="","-",+C153+1)</f>
        <v>2062</v>
      </c>
      <c r="D154" s="543">
        <f>IF(F153+SUM(E$99:E153)=D$92,F153,D$92-SUM(E$99:E153))</f>
        <v>0</v>
      </c>
      <c r="E154" s="544">
        <f>IF(+J96&lt;F153,J96,D154)</f>
        <v>0</v>
      </c>
      <c r="F154" s="490">
        <f>+D154-E154</f>
        <v>0</v>
      </c>
      <c r="G154" s="490">
        <f>+(F154+D154)/2</f>
        <v>0</v>
      </c>
      <c r="H154" s="492">
        <f t="shared" si="46"/>
        <v>0</v>
      </c>
      <c r="I154" s="545">
        <f t="shared" si="47"/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 ht="12.5">
      <c r="C155" s="346" t="s">
        <v>77</v>
      </c>
      <c r="D155" s="347"/>
      <c r="E155" s="347">
        <f>SUM(E99:E154)</f>
        <v>84424</v>
      </c>
      <c r="F155" s="347"/>
      <c r="G155" s="347"/>
      <c r="H155" s="347">
        <f>SUM(H99:H154)</f>
        <v>320452.77131116047</v>
      </c>
      <c r="I155" s="347">
        <f>SUM(I99:I154)</f>
        <v>320452.77131116047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>
    <tabColor rgb="FFC0000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8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5686.7962355511117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5686.7962355511117</v>
      </c>
      <c r="O6" s="232"/>
      <c r="P6" s="232"/>
    </row>
    <row r="7" spans="1:16" ht="13.5" thickBot="1">
      <c r="C7" s="431" t="s">
        <v>46</v>
      </c>
      <c r="D7" s="432" t="s">
        <v>215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87</v>
      </c>
      <c r="E9" s="577" t="s">
        <v>347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56133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1439.3076923076924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2006</v>
      </c>
      <c r="D17" s="473">
        <v>56133</v>
      </c>
      <c r="E17" s="474">
        <v>752</v>
      </c>
      <c r="F17" s="473">
        <v>55381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2007</v>
      </c>
      <c r="D18" s="479">
        <v>55381</v>
      </c>
      <c r="E18" s="480">
        <v>1002</v>
      </c>
      <c r="F18" s="479">
        <v>54379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2008</v>
      </c>
      <c r="D19" s="479">
        <v>54379</v>
      </c>
      <c r="E19" s="480">
        <v>1002</v>
      </c>
      <c r="F19" s="479">
        <v>53377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2009</v>
      </c>
      <c r="D20" s="479">
        <v>53377</v>
      </c>
      <c r="E20" s="480">
        <v>1002</v>
      </c>
      <c r="F20" s="479">
        <v>52375</v>
      </c>
      <c r="G20" s="480">
        <v>0</v>
      </c>
      <c r="H20" s="481">
        <v>0</v>
      </c>
      <c r="I20" s="475">
        <f t="shared" si="0"/>
        <v>0</v>
      </c>
      <c r="J20" s="475"/>
      <c r="K20" s="476">
        <v>0</v>
      </c>
      <c r="L20" s="478">
        <f t="shared" si="1"/>
        <v>0</v>
      </c>
      <c r="M20" s="476">
        <v>0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2010</v>
      </c>
      <c r="D21" s="479">
        <v>52375</v>
      </c>
      <c r="E21" s="480">
        <v>1002.375</v>
      </c>
      <c r="F21" s="479">
        <v>51372.625</v>
      </c>
      <c r="G21" s="480">
        <v>8415.2657154769768</v>
      </c>
      <c r="H21" s="481">
        <v>8415.2657154769768</v>
      </c>
      <c r="I21" s="475">
        <f t="shared" si="0"/>
        <v>0</v>
      </c>
      <c r="J21" s="475"/>
      <c r="K21" s="476">
        <f t="shared" ref="K21:K26" si="5">G21</f>
        <v>8415.2657154769768</v>
      </c>
      <c r="L21" s="550">
        <f t="shared" si="1"/>
        <v>0</v>
      </c>
      <c r="M21" s="476">
        <f t="shared" ref="M21:M26" si="6">H21</f>
        <v>8415.2657154769768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2011</v>
      </c>
      <c r="D22" s="479">
        <v>51372.625</v>
      </c>
      <c r="E22" s="480">
        <v>1100.6470588235295</v>
      </c>
      <c r="F22" s="479">
        <v>50271.977941176468</v>
      </c>
      <c r="G22" s="480">
        <v>8970.3904929935452</v>
      </c>
      <c r="H22" s="481">
        <v>8970.3904929935452</v>
      </c>
      <c r="I22" s="475">
        <f t="shared" si="0"/>
        <v>0</v>
      </c>
      <c r="J22" s="475"/>
      <c r="K22" s="476">
        <f t="shared" si="5"/>
        <v>8970.3904929935452</v>
      </c>
      <c r="L22" s="550">
        <f t="shared" si="1"/>
        <v>0</v>
      </c>
      <c r="M22" s="476">
        <f t="shared" si="6"/>
        <v>8970.3904929935452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2012</v>
      </c>
      <c r="D23" s="479">
        <v>50271.977941176468</v>
      </c>
      <c r="E23" s="480">
        <v>1079.4807692307693</v>
      </c>
      <c r="F23" s="479">
        <v>49192.497171945703</v>
      </c>
      <c r="G23" s="480">
        <v>7927.4076335998161</v>
      </c>
      <c r="H23" s="481">
        <v>7927.4076335998161</v>
      </c>
      <c r="I23" s="475">
        <f t="shared" si="0"/>
        <v>0</v>
      </c>
      <c r="J23" s="475"/>
      <c r="K23" s="476">
        <f t="shared" si="5"/>
        <v>7927.4076335998161</v>
      </c>
      <c r="L23" s="550">
        <f t="shared" si="1"/>
        <v>0</v>
      </c>
      <c r="M23" s="476">
        <f t="shared" si="6"/>
        <v>7927.4076335998161</v>
      </c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4"/>
        <v/>
      </c>
      <c r="C24" s="472">
        <f>IF(D11="","-",+C23+1)</f>
        <v>2013</v>
      </c>
      <c r="D24" s="479">
        <v>49192.497171945703</v>
      </c>
      <c r="E24" s="480">
        <v>1079.4807692307693</v>
      </c>
      <c r="F24" s="479">
        <v>48113.016402714937</v>
      </c>
      <c r="G24" s="480">
        <v>7950.3447729090094</v>
      </c>
      <c r="H24" s="481">
        <v>7950.3447729090094</v>
      </c>
      <c r="I24" s="475">
        <v>0</v>
      </c>
      <c r="J24" s="475"/>
      <c r="K24" s="476">
        <f t="shared" si="5"/>
        <v>7950.3447729090094</v>
      </c>
      <c r="L24" s="550">
        <f t="shared" ref="L24:L29" si="7">IF(K24&lt;&gt;0,+G24-K24,0)</f>
        <v>0</v>
      </c>
      <c r="M24" s="476">
        <f t="shared" si="6"/>
        <v>7950.3447729090094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 ht="12.5">
      <c r="B25" s="160" t="str">
        <f t="shared" si="4"/>
        <v/>
      </c>
      <c r="C25" s="472">
        <f>IF(D11="","-",+C24+1)</f>
        <v>2014</v>
      </c>
      <c r="D25" s="479">
        <v>48113.016402714937</v>
      </c>
      <c r="E25" s="480">
        <v>1079.4807692307693</v>
      </c>
      <c r="F25" s="479">
        <v>47033.535633484171</v>
      </c>
      <c r="G25" s="480">
        <v>7554.0593246775043</v>
      </c>
      <c r="H25" s="481">
        <v>7554.0593246775043</v>
      </c>
      <c r="I25" s="475">
        <v>0</v>
      </c>
      <c r="J25" s="475"/>
      <c r="K25" s="476">
        <f t="shared" si="5"/>
        <v>7554.0593246775043</v>
      </c>
      <c r="L25" s="550">
        <f t="shared" si="7"/>
        <v>0</v>
      </c>
      <c r="M25" s="476">
        <f t="shared" si="6"/>
        <v>7554.0593246775043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2015</v>
      </c>
      <c r="D26" s="479">
        <v>47033.535633484171</v>
      </c>
      <c r="E26" s="480">
        <v>1079.4807692307693</v>
      </c>
      <c r="F26" s="479">
        <v>45954.054864253405</v>
      </c>
      <c r="G26" s="480">
        <v>7415.24244849963</v>
      </c>
      <c r="H26" s="481">
        <v>7415.24244849963</v>
      </c>
      <c r="I26" s="475">
        <v>0</v>
      </c>
      <c r="J26" s="475"/>
      <c r="K26" s="476">
        <f t="shared" si="5"/>
        <v>7415.24244849963</v>
      </c>
      <c r="L26" s="550">
        <f t="shared" si="7"/>
        <v>0</v>
      </c>
      <c r="M26" s="476">
        <f t="shared" si="6"/>
        <v>7415.24244849963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2016</v>
      </c>
      <c r="D27" s="479">
        <v>45954.054864253405</v>
      </c>
      <c r="E27" s="480">
        <v>1079.4807692307693</v>
      </c>
      <c r="F27" s="479">
        <v>44874.574095022639</v>
      </c>
      <c r="G27" s="480">
        <v>6965.2134846377958</v>
      </c>
      <c r="H27" s="481">
        <v>6965.2134846377958</v>
      </c>
      <c r="I27" s="475">
        <f t="shared" si="0"/>
        <v>0</v>
      </c>
      <c r="J27" s="475"/>
      <c r="K27" s="476">
        <f t="shared" ref="K27:K32" si="10">G27</f>
        <v>6965.2134846377958</v>
      </c>
      <c r="L27" s="550">
        <f t="shared" si="7"/>
        <v>0</v>
      </c>
      <c r="M27" s="476">
        <f t="shared" ref="M27:M32" si="11">H27</f>
        <v>6965.2134846377958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2017</v>
      </c>
      <c r="D28" s="479">
        <v>44874.574095022639</v>
      </c>
      <c r="E28" s="480">
        <v>1220.2826086956522</v>
      </c>
      <c r="F28" s="479">
        <v>43654.291486326983</v>
      </c>
      <c r="G28" s="480">
        <v>6775.7563240948048</v>
      </c>
      <c r="H28" s="481">
        <v>6775.7563240948048</v>
      </c>
      <c r="I28" s="475">
        <f t="shared" si="0"/>
        <v>0</v>
      </c>
      <c r="J28" s="475"/>
      <c r="K28" s="476">
        <f t="shared" si="10"/>
        <v>6775.7563240948048</v>
      </c>
      <c r="L28" s="550">
        <f t="shared" si="7"/>
        <v>0</v>
      </c>
      <c r="M28" s="476">
        <f t="shared" si="11"/>
        <v>6775.7563240948048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2018</v>
      </c>
      <c r="D29" s="479">
        <v>43654.291486326983</v>
      </c>
      <c r="E29" s="480">
        <v>1247.4000000000001</v>
      </c>
      <c r="F29" s="479">
        <v>42406.891486326982</v>
      </c>
      <c r="G29" s="480">
        <v>6400.6980544313355</v>
      </c>
      <c r="H29" s="481">
        <v>6400.6980544313355</v>
      </c>
      <c r="I29" s="475">
        <f t="shared" si="0"/>
        <v>0</v>
      </c>
      <c r="J29" s="475"/>
      <c r="K29" s="476">
        <f t="shared" si="10"/>
        <v>6400.6980544313355</v>
      </c>
      <c r="L29" s="550">
        <f t="shared" si="7"/>
        <v>0</v>
      </c>
      <c r="M29" s="476">
        <f t="shared" si="11"/>
        <v>6400.6980544313355</v>
      </c>
      <c r="N29" s="478">
        <f t="shared" si="8"/>
        <v>0</v>
      </c>
      <c r="O29" s="478">
        <f t="shared" si="9"/>
        <v>0</v>
      </c>
      <c r="P29" s="242"/>
    </row>
    <row r="30" spans="2:16" ht="12.5">
      <c r="B30" s="160" t="str">
        <f t="shared" si="4"/>
        <v/>
      </c>
      <c r="C30" s="472">
        <f>IF(D11="","-",+C29+1)</f>
        <v>2019</v>
      </c>
      <c r="D30" s="479">
        <v>42406.891486326982</v>
      </c>
      <c r="E30" s="480">
        <v>1403.325</v>
      </c>
      <c r="F30" s="479">
        <v>41003.566486326985</v>
      </c>
      <c r="G30" s="480">
        <v>6059.9903761062678</v>
      </c>
      <c r="H30" s="481">
        <v>6059.9903761062678</v>
      </c>
      <c r="I30" s="475">
        <f t="shared" si="0"/>
        <v>0</v>
      </c>
      <c r="J30" s="475"/>
      <c r="K30" s="476">
        <f t="shared" si="10"/>
        <v>6059.9903761062678</v>
      </c>
      <c r="L30" s="550">
        <f t="shared" ref="L30" si="12">IF(K30&lt;&gt;0,+G30-K30,0)</f>
        <v>0</v>
      </c>
      <c r="M30" s="476">
        <f t="shared" si="11"/>
        <v>6059.9903761062678</v>
      </c>
      <c r="N30" s="478">
        <f t="shared" ref="N30" si="13">IF(M30&lt;&gt;0,+H30-M30,0)</f>
        <v>0</v>
      </c>
      <c r="O30" s="478">
        <f t="shared" ref="O30" si="14">+N30-L30</f>
        <v>0</v>
      </c>
      <c r="P30" s="242"/>
    </row>
    <row r="31" spans="2:16" ht="12.5">
      <c r="B31" s="160" t="str">
        <f t="shared" si="4"/>
        <v>IU</v>
      </c>
      <c r="C31" s="472">
        <f>IF(D11="","-",+C30+1)</f>
        <v>2020</v>
      </c>
      <c r="D31" s="479">
        <v>41159.491486326981</v>
      </c>
      <c r="E31" s="480">
        <v>1336.5</v>
      </c>
      <c r="F31" s="479">
        <v>39822.991486326981</v>
      </c>
      <c r="G31" s="480">
        <v>5709.7475035377865</v>
      </c>
      <c r="H31" s="481">
        <v>5709.7475035377865</v>
      </c>
      <c r="I31" s="475">
        <f t="shared" si="0"/>
        <v>0</v>
      </c>
      <c r="J31" s="475"/>
      <c r="K31" s="476">
        <f t="shared" si="10"/>
        <v>5709.7475035377865</v>
      </c>
      <c r="L31" s="550">
        <f t="shared" ref="L31" si="15">IF(K31&lt;&gt;0,+G31-K31,0)</f>
        <v>0</v>
      </c>
      <c r="M31" s="476">
        <f t="shared" si="11"/>
        <v>5709.7475035377865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>IU</v>
      </c>
      <c r="C32" s="472">
        <f>IF(D11="","-",+C31+1)</f>
        <v>2021</v>
      </c>
      <c r="D32" s="479">
        <v>39667.06648632697</v>
      </c>
      <c r="E32" s="480">
        <v>1305.4186046511627</v>
      </c>
      <c r="F32" s="479">
        <v>38361.64788167581</v>
      </c>
      <c r="G32" s="480">
        <v>5441.6348487910545</v>
      </c>
      <c r="H32" s="481">
        <v>5441.6348487910545</v>
      </c>
      <c r="I32" s="475">
        <f t="shared" si="0"/>
        <v>0</v>
      </c>
      <c r="J32" s="475"/>
      <c r="K32" s="476">
        <f t="shared" si="10"/>
        <v>5441.6348487910545</v>
      </c>
      <c r="L32" s="550">
        <f t="shared" ref="L32" si="16">IF(K32&lt;&gt;0,+G32-K32,0)</f>
        <v>0</v>
      </c>
      <c r="M32" s="476">
        <f t="shared" si="11"/>
        <v>5441.6348487910545</v>
      </c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2022</v>
      </c>
      <c r="D33" s="479">
        <v>38361.64788167581</v>
      </c>
      <c r="E33" s="480">
        <v>1336.5</v>
      </c>
      <c r="F33" s="479">
        <v>37025.14788167581</v>
      </c>
      <c r="G33" s="480">
        <v>5328.2273193212004</v>
      </c>
      <c r="H33" s="481">
        <v>5328.2273193212004</v>
      </c>
      <c r="I33" s="475">
        <f t="shared" si="0"/>
        <v>0</v>
      </c>
      <c r="J33" s="475"/>
      <c r="K33" s="476">
        <f t="shared" ref="K33" si="17">G33</f>
        <v>5328.2273193212004</v>
      </c>
      <c r="L33" s="550">
        <f t="shared" ref="L33" si="18">IF(K33&lt;&gt;0,+G33-K33,0)</f>
        <v>0</v>
      </c>
      <c r="M33" s="476">
        <f t="shared" ref="M33" si="19">H33</f>
        <v>5328.2273193212004</v>
      </c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2023</v>
      </c>
      <c r="D34" s="485">
        <f>IF(F33+SUM(E$17:E33)=D$10,F33,D$10-SUM(E$17:E33))</f>
        <v>37025.14788167581</v>
      </c>
      <c r="E34" s="484">
        <f>IF(+I14&lt;F33,I14,D34)</f>
        <v>1439.3076923076924</v>
      </c>
      <c r="F34" s="485">
        <f t="shared" ref="F34:F48" si="20">+D34-E34</f>
        <v>35585.840189368115</v>
      </c>
      <c r="G34" s="486">
        <f t="shared" ref="G34:G72" si="21">+I$12*F34+E34</f>
        <v>5686.7962355511117</v>
      </c>
      <c r="H34" s="455">
        <f t="shared" ref="H34:H72" si="22">+I$13*F34+E34</f>
        <v>5686.7962355511117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2024</v>
      </c>
      <c r="D35" s="485">
        <f>IF(F34+SUM(E$17:E34)=D$10,F34,D$10-SUM(E$17:E34))</f>
        <v>35585.840189368115</v>
      </c>
      <c r="E35" s="484">
        <f>IF(+I14&lt;F34,I14,D35)</f>
        <v>1439.3076923076924</v>
      </c>
      <c r="F35" s="485">
        <f t="shared" si="20"/>
        <v>34146.53249706042</v>
      </c>
      <c r="G35" s="486">
        <f t="shared" si="21"/>
        <v>5515.0019797250106</v>
      </c>
      <c r="H35" s="455">
        <f t="shared" si="22"/>
        <v>5515.0019797250106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2025</v>
      </c>
      <c r="D36" s="485">
        <f>IF(F35+SUM(E$17:E35)=D$10,F35,D$10-SUM(E$17:E35))</f>
        <v>34146.53249706042</v>
      </c>
      <c r="E36" s="484">
        <f>IF(+I14&lt;F35,I14,D36)</f>
        <v>1439.3076923076924</v>
      </c>
      <c r="F36" s="485">
        <f t="shared" si="20"/>
        <v>32707.224804752728</v>
      </c>
      <c r="G36" s="486">
        <f t="shared" si="21"/>
        <v>5343.2077238989095</v>
      </c>
      <c r="H36" s="455">
        <f t="shared" si="22"/>
        <v>5343.2077238989095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2026</v>
      </c>
      <c r="D37" s="485">
        <f>IF(F36+SUM(E$17:E36)=D$10,F36,D$10-SUM(E$17:E36))</f>
        <v>32707.224804752728</v>
      </c>
      <c r="E37" s="484">
        <f>IF(+I14&lt;F36,I14,D37)</f>
        <v>1439.3076923076924</v>
      </c>
      <c r="F37" s="485">
        <f t="shared" si="20"/>
        <v>31267.917112445037</v>
      </c>
      <c r="G37" s="486">
        <f t="shared" si="21"/>
        <v>5171.4134680728093</v>
      </c>
      <c r="H37" s="455">
        <f t="shared" si="22"/>
        <v>5171.4134680728093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565" t="str">
        <f t="shared" si="4"/>
        <v/>
      </c>
      <c r="C38" s="472">
        <f>IF(D11="","-",+C37+1)</f>
        <v>2027</v>
      </c>
      <c r="D38" s="485">
        <f>IF(F37+SUM(E$17:E37)=D$10,F37,D$10-SUM(E$17:E37))</f>
        <v>31267.917112445037</v>
      </c>
      <c r="E38" s="484">
        <f>IF(+I14&lt;F37,I14,D38)</f>
        <v>1439.3076923076924</v>
      </c>
      <c r="F38" s="485">
        <f t="shared" si="20"/>
        <v>29828.609420137345</v>
      </c>
      <c r="G38" s="486">
        <f t="shared" si="21"/>
        <v>4999.6192122467082</v>
      </c>
      <c r="H38" s="455">
        <f t="shared" si="22"/>
        <v>4999.6192122467082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2028</v>
      </c>
      <c r="D39" s="485">
        <f>IF(F38+SUM(E$17:E38)=D$10,F38,D$10-SUM(E$17:E38))</f>
        <v>29828.609420137345</v>
      </c>
      <c r="E39" s="484">
        <f>IF(+I14&lt;F38,I14,D39)</f>
        <v>1439.3076923076924</v>
      </c>
      <c r="F39" s="485">
        <f t="shared" si="20"/>
        <v>28389.301727829654</v>
      </c>
      <c r="G39" s="486">
        <f t="shared" si="21"/>
        <v>4827.8249564206071</v>
      </c>
      <c r="H39" s="455">
        <f t="shared" si="22"/>
        <v>4827.8249564206071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2029</v>
      </c>
      <c r="D40" s="485">
        <f>IF(F39+SUM(E$17:E39)=D$10,F39,D$10-SUM(E$17:E39))</f>
        <v>28389.301727829654</v>
      </c>
      <c r="E40" s="484">
        <f>IF(+I14&lt;F39,I14,D40)</f>
        <v>1439.3076923076924</v>
      </c>
      <c r="F40" s="485">
        <f t="shared" si="20"/>
        <v>26949.994035521962</v>
      </c>
      <c r="G40" s="486">
        <f t="shared" si="21"/>
        <v>4656.0307005945069</v>
      </c>
      <c r="H40" s="455">
        <f t="shared" si="22"/>
        <v>4656.0307005945069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2030</v>
      </c>
      <c r="D41" s="485">
        <f>IF(F40+SUM(E$17:E40)=D$10,F40,D$10-SUM(E$17:E40))</f>
        <v>26949.994035521962</v>
      </c>
      <c r="E41" s="484">
        <f>IF(+I14&lt;F40,I14,D41)</f>
        <v>1439.3076923076924</v>
      </c>
      <c r="F41" s="485">
        <f t="shared" si="20"/>
        <v>25510.686343214271</v>
      </c>
      <c r="G41" s="486">
        <f t="shared" si="21"/>
        <v>4484.2364447684058</v>
      </c>
      <c r="H41" s="455">
        <f t="shared" si="22"/>
        <v>4484.2364447684058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2031</v>
      </c>
      <c r="D42" s="485">
        <f>IF(F41+SUM(E$17:E41)=D$10,F41,D$10-SUM(E$17:E41))</f>
        <v>25510.686343214271</v>
      </c>
      <c r="E42" s="484">
        <f>IF(+I14&lt;F41,I14,D42)</f>
        <v>1439.3076923076924</v>
      </c>
      <c r="F42" s="485">
        <f t="shared" si="20"/>
        <v>24071.378650906579</v>
      </c>
      <c r="G42" s="486">
        <f t="shared" si="21"/>
        <v>4312.4421889423047</v>
      </c>
      <c r="H42" s="455">
        <f t="shared" si="22"/>
        <v>4312.4421889423047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2032</v>
      </c>
      <c r="D43" s="485">
        <f>IF(F42+SUM(E$17:E42)=D$10,F42,D$10-SUM(E$17:E42))</f>
        <v>24071.378650906579</v>
      </c>
      <c r="E43" s="484">
        <f>IF(+I14&lt;F42,I14,D43)</f>
        <v>1439.3076923076924</v>
      </c>
      <c r="F43" s="485">
        <f t="shared" si="20"/>
        <v>22632.070958598888</v>
      </c>
      <c r="G43" s="486">
        <f t="shared" si="21"/>
        <v>4140.6479331162045</v>
      </c>
      <c r="H43" s="455">
        <f t="shared" si="22"/>
        <v>4140.6479331162045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2033</v>
      </c>
      <c r="D44" s="485">
        <f>IF(F43+SUM(E$17:E43)=D$10,F43,D$10-SUM(E$17:E43))</f>
        <v>22632.070958598888</v>
      </c>
      <c r="E44" s="484">
        <f>IF(+I14&lt;F43,I14,D44)</f>
        <v>1439.3076923076924</v>
      </c>
      <c r="F44" s="485">
        <f t="shared" si="20"/>
        <v>21192.763266291196</v>
      </c>
      <c r="G44" s="486">
        <f t="shared" si="21"/>
        <v>3968.8536772901034</v>
      </c>
      <c r="H44" s="455">
        <f t="shared" si="22"/>
        <v>3968.8536772901034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2034</v>
      </c>
      <c r="D45" s="485">
        <f>IF(F44+SUM(E$17:E44)=D$10,F44,D$10-SUM(E$17:E44))</f>
        <v>21192.763266291196</v>
      </c>
      <c r="E45" s="484">
        <f>IF(+I14&lt;F44,I14,D45)</f>
        <v>1439.3076923076924</v>
      </c>
      <c r="F45" s="485">
        <f t="shared" si="20"/>
        <v>19753.455573983505</v>
      </c>
      <c r="G45" s="486">
        <f t="shared" si="21"/>
        <v>3797.0594214640028</v>
      </c>
      <c r="H45" s="455">
        <f t="shared" si="22"/>
        <v>3797.0594214640028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2035</v>
      </c>
      <c r="D46" s="485">
        <f>IF(F45+SUM(E$17:E45)=D$10,F45,D$10-SUM(E$17:E45))</f>
        <v>19753.455573983505</v>
      </c>
      <c r="E46" s="484">
        <f>IF(+I14&lt;F45,I14,D46)</f>
        <v>1439.3076923076924</v>
      </c>
      <c r="F46" s="485">
        <f t="shared" si="20"/>
        <v>18314.147881675814</v>
      </c>
      <c r="G46" s="486">
        <f t="shared" si="21"/>
        <v>3625.2651656379021</v>
      </c>
      <c r="H46" s="455">
        <f t="shared" si="22"/>
        <v>3625.2651656379021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2036</v>
      </c>
      <c r="D47" s="485">
        <f>IF(F46+SUM(E$17:E46)=D$10,F46,D$10-SUM(E$17:E46))</f>
        <v>18314.147881675814</v>
      </c>
      <c r="E47" s="484">
        <f>IF(+I14&lt;F46,I14,D47)</f>
        <v>1439.3076923076924</v>
      </c>
      <c r="F47" s="485">
        <f t="shared" si="20"/>
        <v>16874.840189368122</v>
      </c>
      <c r="G47" s="486">
        <f t="shared" si="21"/>
        <v>3453.470909811801</v>
      </c>
      <c r="H47" s="455">
        <f t="shared" si="22"/>
        <v>3453.470909811801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2037</v>
      </c>
      <c r="D48" s="485">
        <f>IF(F47+SUM(E$17:E47)=D$10,F47,D$10-SUM(E$17:E47))</f>
        <v>16874.840189368122</v>
      </c>
      <c r="E48" s="484">
        <f>IF(+I14&lt;F47,I14,D48)</f>
        <v>1439.3076923076924</v>
      </c>
      <c r="F48" s="485">
        <f t="shared" si="20"/>
        <v>15435.532497060431</v>
      </c>
      <c r="G48" s="486">
        <f t="shared" si="21"/>
        <v>3281.6766539857008</v>
      </c>
      <c r="H48" s="455">
        <f t="shared" si="22"/>
        <v>3281.6766539857008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2038</v>
      </c>
      <c r="D49" s="485">
        <f>IF(F48+SUM(E$17:E48)=D$10,F48,D$10-SUM(E$17:E48))</f>
        <v>15435.532497060431</v>
      </c>
      <c r="E49" s="484">
        <f>IF(+I14&lt;F48,I14,D49)</f>
        <v>1439.3076923076924</v>
      </c>
      <c r="F49" s="485">
        <f t="shared" ref="F49:F72" si="23">+D49-E49</f>
        <v>13996.224804752739</v>
      </c>
      <c r="G49" s="486">
        <f t="shared" si="21"/>
        <v>3109.8823981595997</v>
      </c>
      <c r="H49" s="455">
        <f t="shared" si="22"/>
        <v>3109.8823981595997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2039</v>
      </c>
      <c r="D50" s="485">
        <f>IF(F49+SUM(E$17:E49)=D$10,F49,D$10-SUM(E$17:E49))</f>
        <v>13996.224804752739</v>
      </c>
      <c r="E50" s="484">
        <f>IF(+I14&lt;F49,I14,D50)</f>
        <v>1439.3076923076924</v>
      </c>
      <c r="F50" s="485">
        <f t="shared" si="23"/>
        <v>12556.917112445048</v>
      </c>
      <c r="G50" s="486">
        <f t="shared" si="21"/>
        <v>2938.088142333499</v>
      </c>
      <c r="H50" s="455">
        <f t="shared" si="22"/>
        <v>2938.088142333499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4"/>
        <v/>
      </c>
      <c r="C51" s="472">
        <f>IF(D11="","-",+C50+1)</f>
        <v>2040</v>
      </c>
      <c r="D51" s="485">
        <f>IF(F50+SUM(E$17:E50)=D$10,F50,D$10-SUM(E$17:E50))</f>
        <v>12556.917112445048</v>
      </c>
      <c r="E51" s="484">
        <f>IF(+I14&lt;F50,I14,D51)</f>
        <v>1439.3076923076924</v>
      </c>
      <c r="F51" s="485">
        <f t="shared" si="23"/>
        <v>11117.609420137356</v>
      </c>
      <c r="G51" s="486">
        <f t="shared" si="21"/>
        <v>2766.2938865073984</v>
      </c>
      <c r="H51" s="455">
        <f t="shared" si="22"/>
        <v>2766.2938865073984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4"/>
        <v/>
      </c>
      <c r="C52" s="472">
        <f>IF(D11="","-",+C51+1)</f>
        <v>2041</v>
      </c>
      <c r="D52" s="485">
        <f>IF(F51+SUM(E$17:E51)=D$10,F51,D$10-SUM(E$17:E51))</f>
        <v>11117.609420137356</v>
      </c>
      <c r="E52" s="484">
        <f>IF(+I14&lt;F51,I14,D52)</f>
        <v>1439.3076923076924</v>
      </c>
      <c r="F52" s="485">
        <f t="shared" si="23"/>
        <v>9678.3017278296647</v>
      </c>
      <c r="G52" s="486">
        <f t="shared" si="21"/>
        <v>2594.4996306812973</v>
      </c>
      <c r="H52" s="455">
        <f t="shared" si="22"/>
        <v>2594.4996306812973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4"/>
        <v/>
      </c>
      <c r="C53" s="472">
        <f>IF(D11="","-",+C52+1)</f>
        <v>2042</v>
      </c>
      <c r="D53" s="485">
        <f>IF(F52+SUM(E$17:E52)=D$10,F52,D$10-SUM(E$17:E52))</f>
        <v>9678.3017278296647</v>
      </c>
      <c r="E53" s="484">
        <f>IF(+I14&lt;F52,I14,D53)</f>
        <v>1439.3076923076924</v>
      </c>
      <c r="F53" s="485">
        <f t="shared" si="23"/>
        <v>8238.9940355219733</v>
      </c>
      <c r="G53" s="486">
        <f t="shared" si="21"/>
        <v>2422.7053748551966</v>
      </c>
      <c r="H53" s="455">
        <f t="shared" si="22"/>
        <v>2422.7053748551966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4"/>
        <v/>
      </c>
      <c r="C54" s="472">
        <f>IF(D11="","-",+C53+1)</f>
        <v>2043</v>
      </c>
      <c r="D54" s="485">
        <f>IF(F53+SUM(E$17:E53)=D$10,F53,D$10-SUM(E$17:E53))</f>
        <v>8238.9940355219733</v>
      </c>
      <c r="E54" s="484">
        <f>IF(+I14&lt;F53,I14,D54)</f>
        <v>1439.3076923076924</v>
      </c>
      <c r="F54" s="485">
        <f t="shared" si="23"/>
        <v>6799.6863432142809</v>
      </c>
      <c r="G54" s="486">
        <f t="shared" si="21"/>
        <v>2250.911119029096</v>
      </c>
      <c r="H54" s="455">
        <f t="shared" si="22"/>
        <v>2250.911119029096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4"/>
        <v/>
      </c>
      <c r="C55" s="472">
        <f>IF(D11="","-",+C54+1)</f>
        <v>2044</v>
      </c>
      <c r="D55" s="485">
        <f>IF(F54+SUM(E$17:E54)=D$10,F54,D$10-SUM(E$17:E54))</f>
        <v>6799.6863432142809</v>
      </c>
      <c r="E55" s="484">
        <f>IF(+I14&lt;F54,I14,D55)</f>
        <v>1439.3076923076924</v>
      </c>
      <c r="F55" s="485">
        <f t="shared" si="23"/>
        <v>5360.3786509065885</v>
      </c>
      <c r="G55" s="486">
        <f t="shared" si="21"/>
        <v>2079.1168632029949</v>
      </c>
      <c r="H55" s="455">
        <f t="shared" si="22"/>
        <v>2079.1168632029949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4"/>
        <v/>
      </c>
      <c r="C56" s="472">
        <f>IF(D11="","-",+C55+1)</f>
        <v>2045</v>
      </c>
      <c r="D56" s="485">
        <f>IF(F55+SUM(E$17:E55)=D$10,F55,D$10-SUM(E$17:E55))</f>
        <v>5360.3786509065885</v>
      </c>
      <c r="E56" s="484">
        <f>IF(+I14&lt;F55,I14,D56)</f>
        <v>1439.3076923076924</v>
      </c>
      <c r="F56" s="485">
        <f t="shared" si="23"/>
        <v>3921.0709585988961</v>
      </c>
      <c r="G56" s="486">
        <f t="shared" si="21"/>
        <v>1907.3226073768942</v>
      </c>
      <c r="H56" s="455">
        <f t="shared" si="22"/>
        <v>1907.3226073768942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4"/>
        <v/>
      </c>
      <c r="C57" s="472">
        <f>IF(D11="","-",+C56+1)</f>
        <v>2046</v>
      </c>
      <c r="D57" s="485">
        <f>IF(F56+SUM(E$17:E56)=D$10,F56,D$10-SUM(E$17:E56))</f>
        <v>3921.0709585988961</v>
      </c>
      <c r="E57" s="484">
        <f>IF(+I14&lt;F56,I14,D57)</f>
        <v>1439.3076923076924</v>
      </c>
      <c r="F57" s="485">
        <f t="shared" si="23"/>
        <v>2481.7632662912038</v>
      </c>
      <c r="G57" s="486">
        <f t="shared" si="21"/>
        <v>1735.5283515507931</v>
      </c>
      <c r="H57" s="455">
        <f t="shared" si="22"/>
        <v>1735.5283515507931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4"/>
        <v/>
      </c>
      <c r="C58" s="472">
        <f>IF(D11="","-",+C57+1)</f>
        <v>2047</v>
      </c>
      <c r="D58" s="485">
        <f>IF(F57+SUM(E$17:E57)=D$10,F57,D$10-SUM(E$17:E57))</f>
        <v>2481.7632662912038</v>
      </c>
      <c r="E58" s="484">
        <f>IF(+I14&lt;F57,I14,D58)</f>
        <v>1439.3076923076924</v>
      </c>
      <c r="F58" s="485">
        <f t="shared" si="23"/>
        <v>1042.4555739835114</v>
      </c>
      <c r="G58" s="486">
        <f t="shared" si="21"/>
        <v>1563.7340957246925</v>
      </c>
      <c r="H58" s="455">
        <f t="shared" si="22"/>
        <v>1563.7340957246925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4"/>
        <v>IU</v>
      </c>
      <c r="C59" s="472">
        <f>IF(D11="","-",+C58+1)</f>
        <v>2048</v>
      </c>
      <c r="D59" s="485">
        <f>IF(F58+SUM(E$17:E58)=D$10,F58,D$10-SUM(E$17:E58))</f>
        <v>1042.4555739834614</v>
      </c>
      <c r="E59" s="484">
        <f>IF(+I14&lt;F58,I14,D59)</f>
        <v>1042.4555739834614</v>
      </c>
      <c r="F59" s="485">
        <f t="shared" si="23"/>
        <v>0</v>
      </c>
      <c r="G59" s="486">
        <f t="shared" si="21"/>
        <v>1042.4555739834614</v>
      </c>
      <c r="H59" s="455">
        <f t="shared" si="22"/>
        <v>1042.4555739834614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4"/>
        <v/>
      </c>
      <c r="C60" s="472">
        <f>IF(D11="","-",+C59+1)</f>
        <v>2049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4"/>
        <v/>
      </c>
      <c r="C61" s="472">
        <f>IF(D11="","-",+C60+1)</f>
        <v>2050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4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565" t="str">
        <f t="shared" si="4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4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2:16" ht="12.5">
      <c r="B65" s="160" t="str">
        <f t="shared" si="4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2:16" ht="12.5">
      <c r="B66" s="160" t="str">
        <f t="shared" si="4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2:16" ht="12.5">
      <c r="B67" s="160" t="str">
        <f t="shared" si="4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2:16" ht="12.5">
      <c r="B68" s="160" t="str">
        <f t="shared" si="4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2:16" ht="12.5">
      <c r="B69" s="160" t="str">
        <f t="shared" si="4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2:16" ht="12.5">
      <c r="B70" s="160" t="str">
        <f t="shared" si="4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2:16" ht="12.5">
      <c r="B71" s="160" t="str">
        <f t="shared" si="4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2:16" ht="12.5">
      <c r="C73" s="346" t="s">
        <v>77</v>
      </c>
      <c r="D73" s="347"/>
      <c r="E73" s="347">
        <f>SUM(E17:E72)</f>
        <v>56133</v>
      </c>
      <c r="F73" s="347"/>
      <c r="G73" s="347">
        <f>SUM(G17:G72)</f>
        <v>182588.06301400778</v>
      </c>
      <c r="H73" s="347">
        <f>SUM(H17:H72)</f>
        <v>182588.06301400778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8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5441.6348487910545</v>
      </c>
      <c r="N87" s="508">
        <f>IF(J92&lt;D11,0,VLOOKUP(J92,C17:O72,11))</f>
        <v>5441.6348487910545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5853.9722481455983</v>
      </c>
      <c r="N88" s="512">
        <f>IF(J92&lt;D11,0,VLOOKUP(J92,C99:P154,7))</f>
        <v>5853.9722481455983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Weleetka &amp; Okmulgee Wavetrap replacement 81-805*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412.33739935454378</v>
      </c>
      <c r="N89" s="517">
        <f>+N88-N87</f>
        <v>412.33739935454378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TP2005046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56133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1369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2006</v>
      </c>
      <c r="D99" s="473">
        <v>0</v>
      </c>
      <c r="E99" s="480">
        <v>0</v>
      </c>
      <c r="F99" s="479">
        <v>56133</v>
      </c>
      <c r="G99" s="537">
        <v>28067</v>
      </c>
      <c r="H99" s="538">
        <v>0</v>
      </c>
      <c r="I99" s="539">
        <v>0</v>
      </c>
      <c r="J99" s="478">
        <f t="shared" ref="J99:J130" si="28">+I99-H99</f>
        <v>0</v>
      </c>
      <c r="K99" s="478"/>
      <c r="L99" s="554">
        <v>0</v>
      </c>
      <c r="M99" s="477">
        <f t="shared" ref="M99:M130" si="29">IF(L99&lt;&gt;0,+H99-L99,0)</f>
        <v>0</v>
      </c>
      <c r="N99" s="554">
        <v>0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 ht="12.5">
      <c r="B100" s="160" t="str">
        <f>IF(D100=F99,"","IU")</f>
        <v/>
      </c>
      <c r="C100" s="472">
        <f>IF(D93="","-",+C99+1)</f>
        <v>2007</v>
      </c>
      <c r="D100" s="473">
        <v>56133</v>
      </c>
      <c r="E100" s="480">
        <v>1059</v>
      </c>
      <c r="F100" s="479">
        <v>55074</v>
      </c>
      <c r="G100" s="479">
        <v>55603</v>
      </c>
      <c r="H100" s="480">
        <v>0</v>
      </c>
      <c r="I100" s="481">
        <v>0</v>
      </c>
      <c r="J100" s="478">
        <f t="shared" si="28"/>
        <v>0</v>
      </c>
      <c r="K100" s="478"/>
      <c r="L100" s="476">
        <v>0</v>
      </c>
      <c r="M100" s="478">
        <f t="shared" si="29"/>
        <v>0</v>
      </c>
      <c r="N100" s="476">
        <v>0</v>
      </c>
      <c r="O100" s="478">
        <f t="shared" si="30"/>
        <v>0</v>
      </c>
      <c r="P100" s="478">
        <f t="shared" si="31"/>
        <v>0</v>
      </c>
    </row>
    <row r="101" spans="1:16" ht="12.5">
      <c r="B101" s="160" t="str">
        <f t="shared" ref="B101:B154" si="32">IF(D101=F100,"","IU")</f>
        <v/>
      </c>
      <c r="C101" s="472">
        <f>IF(D93="","-",+C100+1)</f>
        <v>2008</v>
      </c>
      <c r="D101" s="473">
        <v>55074</v>
      </c>
      <c r="E101" s="480">
        <v>1059</v>
      </c>
      <c r="F101" s="479">
        <v>54015</v>
      </c>
      <c r="G101" s="479">
        <v>54544</v>
      </c>
      <c r="H101" s="480">
        <v>9723</v>
      </c>
      <c r="I101" s="481">
        <v>9723</v>
      </c>
      <c r="J101" s="478">
        <f t="shared" si="28"/>
        <v>0</v>
      </c>
      <c r="K101" s="478"/>
      <c r="L101" s="476">
        <v>9723</v>
      </c>
      <c r="M101" s="478">
        <f t="shared" si="29"/>
        <v>0</v>
      </c>
      <c r="N101" s="476">
        <v>9723</v>
      </c>
      <c r="O101" s="478">
        <f t="shared" si="30"/>
        <v>0</v>
      </c>
      <c r="P101" s="478">
        <f t="shared" si="31"/>
        <v>0</v>
      </c>
    </row>
    <row r="102" spans="1:16" ht="12.5">
      <c r="B102" s="160" t="str">
        <f t="shared" si="32"/>
        <v/>
      </c>
      <c r="C102" s="472">
        <f>IF(D93="","-",+C101+1)</f>
        <v>2009</v>
      </c>
      <c r="D102" s="473">
        <v>54015</v>
      </c>
      <c r="E102" s="480">
        <v>1002</v>
      </c>
      <c r="F102" s="479">
        <v>53013</v>
      </c>
      <c r="G102" s="479">
        <v>53514</v>
      </c>
      <c r="H102" s="480">
        <v>8826.1899911613018</v>
      </c>
      <c r="I102" s="481">
        <v>8826.1899911613018</v>
      </c>
      <c r="J102" s="478">
        <f t="shared" si="28"/>
        <v>0</v>
      </c>
      <c r="K102" s="478"/>
      <c r="L102" s="540">
        <f t="shared" ref="L102:L107" si="33">H102</f>
        <v>8826.1899911613018</v>
      </c>
      <c r="M102" s="541">
        <f t="shared" si="29"/>
        <v>0</v>
      </c>
      <c r="N102" s="540">
        <f t="shared" ref="N102:N107" si="34">I102</f>
        <v>8826.1899911613018</v>
      </c>
      <c r="O102" s="478">
        <f t="shared" si="30"/>
        <v>0</v>
      </c>
      <c r="P102" s="478">
        <f t="shared" si="31"/>
        <v>0</v>
      </c>
    </row>
    <row r="103" spans="1:16" ht="12.5">
      <c r="B103" s="160" t="str">
        <f t="shared" si="32"/>
        <v/>
      </c>
      <c r="C103" s="472">
        <f>IF(D93="","-",+C102+1)</f>
        <v>2010</v>
      </c>
      <c r="D103" s="473">
        <v>53013</v>
      </c>
      <c r="E103" s="480">
        <v>1101</v>
      </c>
      <c r="F103" s="479">
        <v>51912</v>
      </c>
      <c r="G103" s="479">
        <v>52462.5</v>
      </c>
      <c r="H103" s="480">
        <v>9537.7685710444202</v>
      </c>
      <c r="I103" s="481">
        <v>9537.7685710444202</v>
      </c>
      <c r="J103" s="478">
        <f t="shared" si="28"/>
        <v>0</v>
      </c>
      <c r="K103" s="478"/>
      <c r="L103" s="540">
        <f t="shared" si="33"/>
        <v>9537.7685710444202</v>
      </c>
      <c r="M103" s="541">
        <f t="shared" si="29"/>
        <v>0</v>
      </c>
      <c r="N103" s="540">
        <f t="shared" si="34"/>
        <v>9537.7685710444202</v>
      </c>
      <c r="O103" s="478">
        <f t="shared" si="30"/>
        <v>0</v>
      </c>
      <c r="P103" s="478">
        <f t="shared" si="31"/>
        <v>0</v>
      </c>
    </row>
    <row r="104" spans="1:16" ht="12.5">
      <c r="B104" s="160" t="str">
        <f t="shared" si="32"/>
        <v/>
      </c>
      <c r="C104" s="472">
        <f>IF(D93="","-",+C103+1)</f>
        <v>2011</v>
      </c>
      <c r="D104" s="473">
        <v>51912</v>
      </c>
      <c r="E104" s="480">
        <v>1079</v>
      </c>
      <c r="F104" s="479">
        <v>50833</v>
      </c>
      <c r="G104" s="479">
        <v>51372.5</v>
      </c>
      <c r="H104" s="480">
        <v>8261.5658402233203</v>
      </c>
      <c r="I104" s="481">
        <v>8261.5658402233203</v>
      </c>
      <c r="J104" s="478">
        <f t="shared" si="28"/>
        <v>0</v>
      </c>
      <c r="K104" s="478"/>
      <c r="L104" s="540">
        <f t="shared" si="33"/>
        <v>8261.5658402233203</v>
      </c>
      <c r="M104" s="541">
        <f t="shared" si="29"/>
        <v>0</v>
      </c>
      <c r="N104" s="540">
        <f t="shared" si="34"/>
        <v>8261.5658402233203</v>
      </c>
      <c r="O104" s="478">
        <f t="shared" si="30"/>
        <v>0</v>
      </c>
      <c r="P104" s="478">
        <f t="shared" si="31"/>
        <v>0</v>
      </c>
    </row>
    <row r="105" spans="1:16" ht="12.5">
      <c r="B105" s="160" t="str">
        <f t="shared" si="32"/>
        <v/>
      </c>
      <c r="C105" s="472">
        <f>IF(D93="","-",+C104+1)</f>
        <v>2012</v>
      </c>
      <c r="D105" s="473">
        <v>50833</v>
      </c>
      <c r="E105" s="480">
        <v>1079</v>
      </c>
      <c r="F105" s="479">
        <v>49754</v>
      </c>
      <c r="G105" s="479">
        <v>50293.5</v>
      </c>
      <c r="H105" s="480">
        <v>8313.995673781943</v>
      </c>
      <c r="I105" s="481">
        <v>8313.995673781943</v>
      </c>
      <c r="J105" s="478">
        <v>0</v>
      </c>
      <c r="K105" s="478"/>
      <c r="L105" s="540">
        <f t="shared" si="33"/>
        <v>8313.995673781943</v>
      </c>
      <c r="M105" s="541">
        <f t="shared" ref="M105:M110" si="35">IF(L105&lt;&gt;0,+H105-L105,0)</f>
        <v>0</v>
      </c>
      <c r="N105" s="540">
        <f t="shared" si="34"/>
        <v>8313.995673781943</v>
      </c>
      <c r="O105" s="478">
        <f t="shared" ref="O105:O110" si="36">IF(N105&lt;&gt;0,+I105-N105,0)</f>
        <v>0</v>
      </c>
      <c r="P105" s="478">
        <f t="shared" ref="P105:P110" si="37">+O105-M105</f>
        <v>0</v>
      </c>
    </row>
    <row r="106" spans="1:16" ht="12.5">
      <c r="B106" s="160" t="str">
        <f t="shared" si="32"/>
        <v/>
      </c>
      <c r="C106" s="472">
        <f>IF(D93="","-",+C105+1)</f>
        <v>2013</v>
      </c>
      <c r="D106" s="473">
        <v>49754</v>
      </c>
      <c r="E106" s="480">
        <v>1079</v>
      </c>
      <c r="F106" s="479">
        <v>48675</v>
      </c>
      <c r="G106" s="479">
        <v>49214.5</v>
      </c>
      <c r="H106" s="480">
        <v>8162.9151459393179</v>
      </c>
      <c r="I106" s="481">
        <v>8162.9151459393179</v>
      </c>
      <c r="J106" s="478">
        <v>0</v>
      </c>
      <c r="K106" s="478"/>
      <c r="L106" s="540">
        <f t="shared" si="33"/>
        <v>8162.9151459393179</v>
      </c>
      <c r="M106" s="541">
        <f t="shared" si="35"/>
        <v>0</v>
      </c>
      <c r="N106" s="540">
        <f t="shared" si="34"/>
        <v>8162.9151459393179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2"/>
        <v/>
      </c>
      <c r="C107" s="472">
        <f>IF(D93="","-",+C106+1)</f>
        <v>2014</v>
      </c>
      <c r="D107" s="473">
        <v>48675</v>
      </c>
      <c r="E107" s="480">
        <v>1079</v>
      </c>
      <c r="F107" s="479">
        <v>47596</v>
      </c>
      <c r="G107" s="479">
        <v>48135.5</v>
      </c>
      <c r="H107" s="480">
        <v>7846.6545337569178</v>
      </c>
      <c r="I107" s="481">
        <v>7846.6545337569178</v>
      </c>
      <c r="J107" s="478">
        <v>0</v>
      </c>
      <c r="K107" s="478"/>
      <c r="L107" s="540">
        <f t="shared" si="33"/>
        <v>7846.6545337569178</v>
      </c>
      <c r="M107" s="541">
        <f t="shared" si="35"/>
        <v>0</v>
      </c>
      <c r="N107" s="540">
        <f t="shared" si="34"/>
        <v>7846.6545337569178</v>
      </c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2"/>
        <v/>
      </c>
      <c r="C108" s="472">
        <f>IF(D93="","-",+C107+1)</f>
        <v>2015</v>
      </c>
      <c r="D108" s="473">
        <v>47596</v>
      </c>
      <c r="E108" s="480">
        <v>1079</v>
      </c>
      <c r="F108" s="479">
        <v>46517</v>
      </c>
      <c r="G108" s="479">
        <v>47056.5</v>
      </c>
      <c r="H108" s="480">
        <v>7499.4810720950254</v>
      </c>
      <c r="I108" s="481">
        <v>7499.4810720950254</v>
      </c>
      <c r="J108" s="478">
        <f t="shared" si="28"/>
        <v>0</v>
      </c>
      <c r="K108" s="478"/>
      <c r="L108" s="540">
        <f t="shared" ref="L108:L113" si="38">H108</f>
        <v>7499.4810720950254</v>
      </c>
      <c r="M108" s="541">
        <f t="shared" si="35"/>
        <v>0</v>
      </c>
      <c r="N108" s="540">
        <f t="shared" ref="N108:N113" si="39">I108</f>
        <v>7499.4810720950254</v>
      </c>
      <c r="O108" s="478">
        <f t="shared" si="36"/>
        <v>0</v>
      </c>
      <c r="P108" s="478">
        <f t="shared" si="37"/>
        <v>0</v>
      </c>
    </row>
    <row r="109" spans="1:16" ht="12.5">
      <c r="B109" s="160" t="str">
        <f t="shared" si="32"/>
        <v/>
      </c>
      <c r="C109" s="472">
        <f>IF(D93="","-",+C108+1)</f>
        <v>2016</v>
      </c>
      <c r="D109" s="473">
        <v>46517</v>
      </c>
      <c r="E109" s="480">
        <v>1220</v>
      </c>
      <c r="F109" s="479">
        <v>45297</v>
      </c>
      <c r="G109" s="479">
        <v>45907</v>
      </c>
      <c r="H109" s="480">
        <v>7138.135283574793</v>
      </c>
      <c r="I109" s="481">
        <v>7138.135283574793</v>
      </c>
      <c r="J109" s="478">
        <f t="shared" si="28"/>
        <v>0</v>
      </c>
      <c r="K109" s="478"/>
      <c r="L109" s="540">
        <f t="shared" si="38"/>
        <v>7138.135283574793</v>
      </c>
      <c r="M109" s="541">
        <f t="shared" si="35"/>
        <v>0</v>
      </c>
      <c r="N109" s="540">
        <f t="shared" si="39"/>
        <v>7138.135283574793</v>
      </c>
      <c r="O109" s="478">
        <f t="shared" si="36"/>
        <v>0</v>
      </c>
      <c r="P109" s="478">
        <f t="shared" si="37"/>
        <v>0</v>
      </c>
    </row>
    <row r="110" spans="1:16" ht="12.5">
      <c r="B110" s="160" t="str">
        <f t="shared" si="32"/>
        <v/>
      </c>
      <c r="C110" s="472">
        <f>IF(D93="","-",+C109+1)</f>
        <v>2017</v>
      </c>
      <c r="D110" s="473">
        <v>45297</v>
      </c>
      <c r="E110" s="480">
        <v>1220</v>
      </c>
      <c r="F110" s="479">
        <v>44077</v>
      </c>
      <c r="G110" s="479">
        <v>44687</v>
      </c>
      <c r="H110" s="480">
        <v>6888.6586283105316</v>
      </c>
      <c r="I110" s="481">
        <v>6888.6586283105316</v>
      </c>
      <c r="J110" s="478">
        <f t="shared" si="28"/>
        <v>0</v>
      </c>
      <c r="K110" s="478"/>
      <c r="L110" s="540">
        <f t="shared" si="38"/>
        <v>6888.6586283105316</v>
      </c>
      <c r="M110" s="541">
        <f t="shared" si="35"/>
        <v>0</v>
      </c>
      <c r="N110" s="540">
        <f t="shared" si="39"/>
        <v>6888.6586283105316</v>
      </c>
      <c r="O110" s="478">
        <f t="shared" si="36"/>
        <v>0</v>
      </c>
      <c r="P110" s="478">
        <f t="shared" si="37"/>
        <v>0</v>
      </c>
    </row>
    <row r="111" spans="1:16" ht="12.5">
      <c r="B111" s="160" t="str">
        <f t="shared" si="32"/>
        <v/>
      </c>
      <c r="C111" s="472">
        <f>IF(D93="","-",+C110+1)</f>
        <v>2018</v>
      </c>
      <c r="D111" s="473">
        <v>44077</v>
      </c>
      <c r="E111" s="480">
        <v>1305</v>
      </c>
      <c r="F111" s="479">
        <v>42772</v>
      </c>
      <c r="G111" s="479">
        <v>43424.5</v>
      </c>
      <c r="H111" s="480">
        <v>5766.2406216754998</v>
      </c>
      <c r="I111" s="481">
        <v>5766.2406216754998</v>
      </c>
      <c r="J111" s="478">
        <f t="shared" si="28"/>
        <v>0</v>
      </c>
      <c r="K111" s="478"/>
      <c r="L111" s="540">
        <f t="shared" si="38"/>
        <v>5766.2406216754998</v>
      </c>
      <c r="M111" s="541">
        <f t="shared" ref="M111" si="40">IF(L111&lt;&gt;0,+H111-L111,0)</f>
        <v>0</v>
      </c>
      <c r="N111" s="540">
        <f t="shared" si="39"/>
        <v>5766.2406216754998</v>
      </c>
      <c r="O111" s="478">
        <f t="shared" ref="O111" si="41">IF(N111&lt;&gt;0,+I111-N111,0)</f>
        <v>0</v>
      </c>
      <c r="P111" s="478">
        <f t="shared" ref="P111" si="42">+O111-M111</f>
        <v>0</v>
      </c>
    </row>
    <row r="112" spans="1:16" ht="12.5">
      <c r="B112" s="160" t="str">
        <f t="shared" si="32"/>
        <v/>
      </c>
      <c r="C112" s="472">
        <f>IF(D93="","-",+C111+1)</f>
        <v>2019</v>
      </c>
      <c r="D112" s="473">
        <v>42772</v>
      </c>
      <c r="E112" s="480">
        <v>1369</v>
      </c>
      <c r="F112" s="479">
        <v>41403</v>
      </c>
      <c r="G112" s="479">
        <v>42087.5</v>
      </c>
      <c r="H112" s="480">
        <v>5708.8115726685282</v>
      </c>
      <c r="I112" s="481">
        <v>5708.8115726685282</v>
      </c>
      <c r="J112" s="478">
        <f t="shared" si="28"/>
        <v>0</v>
      </c>
      <c r="K112" s="478"/>
      <c r="L112" s="540">
        <f t="shared" si="38"/>
        <v>5708.8115726685282</v>
      </c>
      <c r="M112" s="541">
        <f t="shared" ref="M112:M113" si="43">IF(L112&lt;&gt;0,+H112-L112,0)</f>
        <v>0</v>
      </c>
      <c r="N112" s="540">
        <f t="shared" si="39"/>
        <v>5708.8115726685282</v>
      </c>
      <c r="O112" s="478">
        <f t="shared" si="30"/>
        <v>0</v>
      </c>
      <c r="P112" s="478">
        <f t="shared" si="31"/>
        <v>0</v>
      </c>
    </row>
    <row r="113" spans="2:16" ht="12.5">
      <c r="B113" s="160" t="str">
        <f t="shared" si="32"/>
        <v/>
      </c>
      <c r="C113" s="472">
        <f>IF(D93="","-",+C112+1)</f>
        <v>2020</v>
      </c>
      <c r="D113" s="473">
        <v>41403</v>
      </c>
      <c r="E113" s="480">
        <v>1305</v>
      </c>
      <c r="F113" s="479">
        <v>40098</v>
      </c>
      <c r="G113" s="479">
        <v>40750.5</v>
      </c>
      <c r="H113" s="480">
        <v>6003.4206157380368</v>
      </c>
      <c r="I113" s="481">
        <v>6003.4206157380368</v>
      </c>
      <c r="J113" s="478">
        <f t="shared" si="28"/>
        <v>0</v>
      </c>
      <c r="K113" s="478"/>
      <c r="L113" s="540">
        <f t="shared" si="38"/>
        <v>6003.4206157380368</v>
      </c>
      <c r="M113" s="541">
        <f t="shared" si="43"/>
        <v>0</v>
      </c>
      <c r="N113" s="540">
        <f t="shared" si="39"/>
        <v>6003.4206157380368</v>
      </c>
      <c r="O113" s="478">
        <f t="shared" si="30"/>
        <v>0</v>
      </c>
      <c r="P113" s="478">
        <f t="shared" si="31"/>
        <v>0</v>
      </c>
    </row>
    <row r="114" spans="2:16" ht="12.5">
      <c r="B114" s="160" t="str">
        <f t="shared" si="32"/>
        <v/>
      </c>
      <c r="C114" s="472">
        <f>IF(D93="","-",+C113+1)</f>
        <v>2021</v>
      </c>
      <c r="D114" s="346">
        <f>IF(F113+SUM(E$99:E113)=D$92,F113,D$92-SUM(E$99:E113))</f>
        <v>40098</v>
      </c>
      <c r="E114" s="486">
        <f>IF(+J96&lt;F113,J96,D114)</f>
        <v>1369</v>
      </c>
      <c r="F114" s="485">
        <f t="shared" ref="F114:F130" si="44">+D114-E114</f>
        <v>38729</v>
      </c>
      <c r="G114" s="485">
        <f t="shared" ref="G114:G130" si="45">+(F114+D114)/2</f>
        <v>39413.5</v>
      </c>
      <c r="H114" s="488">
        <f t="shared" ref="H114:H154" si="46">+J$94*G114+E114</f>
        <v>5853.9722481455983</v>
      </c>
      <c r="I114" s="542">
        <f t="shared" ref="I114:I154" si="47">+J$95*G114+E114</f>
        <v>5853.9722481455983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 ht="12.5">
      <c r="B115" s="160" t="str">
        <f t="shared" si="32"/>
        <v/>
      </c>
      <c r="C115" s="472">
        <f>IF(D93="","-",+C114+1)</f>
        <v>2022</v>
      </c>
      <c r="D115" s="346">
        <f>IF(F114+SUM(E$99:E114)=D$92,F114,D$92-SUM(E$99:E114))</f>
        <v>38729</v>
      </c>
      <c r="E115" s="486">
        <f>IF(+J96&lt;F114,J96,D115)</f>
        <v>1369</v>
      </c>
      <c r="F115" s="485">
        <f t="shared" si="44"/>
        <v>37360</v>
      </c>
      <c r="G115" s="485">
        <f t="shared" si="45"/>
        <v>38044.5</v>
      </c>
      <c r="H115" s="488">
        <f t="shared" si="46"/>
        <v>5698.1899144855252</v>
      </c>
      <c r="I115" s="542">
        <f t="shared" si="47"/>
        <v>5698.1899144855252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 ht="12.5">
      <c r="B116" s="160" t="str">
        <f t="shared" si="32"/>
        <v/>
      </c>
      <c r="C116" s="472">
        <f>IF(D93="","-",+C115+1)</f>
        <v>2023</v>
      </c>
      <c r="D116" s="346">
        <f>IF(F115+SUM(E$99:E115)=D$92,F115,D$92-SUM(E$99:E115))</f>
        <v>37360</v>
      </c>
      <c r="E116" s="486">
        <f>IF(+J96&lt;F115,J96,D116)</f>
        <v>1369</v>
      </c>
      <c r="F116" s="485">
        <f t="shared" si="44"/>
        <v>35991</v>
      </c>
      <c r="G116" s="485">
        <f t="shared" si="45"/>
        <v>36675.5</v>
      </c>
      <c r="H116" s="488">
        <f t="shared" si="46"/>
        <v>5542.4075808254511</v>
      </c>
      <c r="I116" s="542">
        <f t="shared" si="47"/>
        <v>5542.4075808254511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 ht="12.5">
      <c r="B117" s="160" t="str">
        <f t="shared" si="32"/>
        <v/>
      </c>
      <c r="C117" s="472">
        <f>IF(D93="","-",+C116+1)</f>
        <v>2024</v>
      </c>
      <c r="D117" s="346">
        <f>IF(F116+SUM(E$99:E116)=D$92,F116,D$92-SUM(E$99:E116))</f>
        <v>35991</v>
      </c>
      <c r="E117" s="486">
        <f>IF(+J96&lt;F116,J96,D117)</f>
        <v>1369</v>
      </c>
      <c r="F117" s="485">
        <f t="shared" si="44"/>
        <v>34622</v>
      </c>
      <c r="G117" s="485">
        <f t="shared" si="45"/>
        <v>35306.5</v>
      </c>
      <c r="H117" s="488">
        <f t="shared" si="46"/>
        <v>5386.625247165377</v>
      </c>
      <c r="I117" s="542">
        <f t="shared" si="47"/>
        <v>5386.625247165377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 ht="12.5">
      <c r="B118" s="160" t="str">
        <f t="shared" si="32"/>
        <v/>
      </c>
      <c r="C118" s="472">
        <f>IF(D93="","-",+C117+1)</f>
        <v>2025</v>
      </c>
      <c r="D118" s="346">
        <f>IF(F117+SUM(E$99:E117)=D$92,F117,D$92-SUM(E$99:E117))</f>
        <v>34622</v>
      </c>
      <c r="E118" s="486">
        <f>IF(+J96&lt;F117,J96,D118)</f>
        <v>1369</v>
      </c>
      <c r="F118" s="485">
        <f t="shared" si="44"/>
        <v>33253</v>
      </c>
      <c r="G118" s="485">
        <f t="shared" si="45"/>
        <v>33937.5</v>
      </c>
      <c r="H118" s="488">
        <f t="shared" si="46"/>
        <v>5230.8429135053029</v>
      </c>
      <c r="I118" s="542">
        <f t="shared" si="47"/>
        <v>5230.8429135053029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 ht="12.5">
      <c r="B119" s="160" t="str">
        <f t="shared" si="32"/>
        <v/>
      </c>
      <c r="C119" s="472">
        <f>IF(D93="","-",+C118+1)</f>
        <v>2026</v>
      </c>
      <c r="D119" s="346">
        <f>IF(F118+SUM(E$99:E118)=D$92,F118,D$92-SUM(E$99:E118))</f>
        <v>33253</v>
      </c>
      <c r="E119" s="486">
        <f>IF(+J96&lt;F118,J96,D119)</f>
        <v>1369</v>
      </c>
      <c r="F119" s="485">
        <f t="shared" si="44"/>
        <v>31884</v>
      </c>
      <c r="G119" s="485">
        <f t="shared" si="45"/>
        <v>32568.5</v>
      </c>
      <c r="H119" s="488">
        <f t="shared" si="46"/>
        <v>5075.0605798452289</v>
      </c>
      <c r="I119" s="542">
        <f t="shared" si="47"/>
        <v>5075.0605798452289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 ht="12.5">
      <c r="B120" s="160" t="str">
        <f t="shared" si="32"/>
        <v/>
      </c>
      <c r="C120" s="472">
        <f>IF(D93="","-",+C119+1)</f>
        <v>2027</v>
      </c>
      <c r="D120" s="346">
        <f>IF(F119+SUM(E$99:E119)=D$92,F119,D$92-SUM(E$99:E119))</f>
        <v>31884</v>
      </c>
      <c r="E120" s="486">
        <f>IF(+J96&lt;F119,J96,D120)</f>
        <v>1369</v>
      </c>
      <c r="F120" s="485">
        <f t="shared" si="44"/>
        <v>30515</v>
      </c>
      <c r="G120" s="485">
        <f t="shared" si="45"/>
        <v>31199.5</v>
      </c>
      <c r="H120" s="488">
        <f t="shared" si="46"/>
        <v>4919.2782461851548</v>
      </c>
      <c r="I120" s="542">
        <f t="shared" si="47"/>
        <v>4919.2782461851548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 ht="12.5">
      <c r="B121" s="160" t="str">
        <f t="shared" si="32"/>
        <v/>
      </c>
      <c r="C121" s="472">
        <f>IF(D93="","-",+C120+1)</f>
        <v>2028</v>
      </c>
      <c r="D121" s="346">
        <f>IF(F120+SUM(E$99:E120)=D$92,F120,D$92-SUM(E$99:E120))</f>
        <v>30515</v>
      </c>
      <c r="E121" s="486">
        <f>IF(+J96&lt;F120,J96,D121)</f>
        <v>1369</v>
      </c>
      <c r="F121" s="485">
        <f t="shared" si="44"/>
        <v>29146</v>
      </c>
      <c r="G121" s="485">
        <f t="shared" si="45"/>
        <v>29830.5</v>
      </c>
      <c r="H121" s="488">
        <f t="shared" si="46"/>
        <v>4763.4959125250807</v>
      </c>
      <c r="I121" s="542">
        <f t="shared" si="47"/>
        <v>4763.4959125250807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 ht="12.5">
      <c r="B122" s="160" t="str">
        <f t="shared" si="32"/>
        <v/>
      </c>
      <c r="C122" s="472">
        <f>IF(D93="","-",+C121+1)</f>
        <v>2029</v>
      </c>
      <c r="D122" s="346">
        <f>IF(F121+SUM(E$99:E121)=D$92,F121,D$92-SUM(E$99:E121))</f>
        <v>29146</v>
      </c>
      <c r="E122" s="486">
        <f>IF(+J96&lt;F121,J96,D122)</f>
        <v>1369</v>
      </c>
      <c r="F122" s="485">
        <f t="shared" si="44"/>
        <v>27777</v>
      </c>
      <c r="G122" s="485">
        <f t="shared" si="45"/>
        <v>28461.5</v>
      </c>
      <c r="H122" s="488">
        <f t="shared" si="46"/>
        <v>4607.7135788650066</v>
      </c>
      <c r="I122" s="542">
        <f t="shared" si="47"/>
        <v>4607.7135788650066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 ht="12.5">
      <c r="B123" s="160" t="str">
        <f t="shared" si="32"/>
        <v/>
      </c>
      <c r="C123" s="472">
        <f>IF(D93="","-",+C122+1)</f>
        <v>2030</v>
      </c>
      <c r="D123" s="346">
        <f>IF(F122+SUM(E$99:E122)=D$92,F122,D$92-SUM(E$99:E122))</f>
        <v>27777</v>
      </c>
      <c r="E123" s="486">
        <f>IF(+J96&lt;F122,J96,D123)</f>
        <v>1369</v>
      </c>
      <c r="F123" s="485">
        <f t="shared" si="44"/>
        <v>26408</v>
      </c>
      <c r="G123" s="485">
        <f t="shared" si="45"/>
        <v>27092.5</v>
      </c>
      <c r="H123" s="488">
        <f t="shared" si="46"/>
        <v>4451.9312452049326</v>
      </c>
      <c r="I123" s="542">
        <f t="shared" si="47"/>
        <v>4451.9312452049326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 ht="12.5">
      <c r="B124" s="160" t="str">
        <f t="shared" si="32"/>
        <v/>
      </c>
      <c r="C124" s="472">
        <f>IF(D93="","-",+C123+1)</f>
        <v>2031</v>
      </c>
      <c r="D124" s="346">
        <f>IF(F123+SUM(E$99:E123)=D$92,F123,D$92-SUM(E$99:E123))</f>
        <v>26408</v>
      </c>
      <c r="E124" s="486">
        <f>IF(+J96&lt;F123,J96,D124)</f>
        <v>1369</v>
      </c>
      <c r="F124" s="485">
        <f t="shared" si="44"/>
        <v>25039</v>
      </c>
      <c r="G124" s="485">
        <f t="shared" si="45"/>
        <v>25723.5</v>
      </c>
      <c r="H124" s="488">
        <f t="shared" si="46"/>
        <v>4296.1489115448594</v>
      </c>
      <c r="I124" s="542">
        <f t="shared" si="47"/>
        <v>4296.1489115448594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 ht="12.5">
      <c r="B125" s="160" t="str">
        <f t="shared" si="32"/>
        <v/>
      </c>
      <c r="C125" s="472">
        <f>IF(D93="","-",+C124+1)</f>
        <v>2032</v>
      </c>
      <c r="D125" s="346">
        <f>IF(F124+SUM(E$99:E124)=D$92,F124,D$92-SUM(E$99:E124))</f>
        <v>25039</v>
      </c>
      <c r="E125" s="486">
        <f>IF(+J96&lt;F124,J96,D125)</f>
        <v>1369</v>
      </c>
      <c r="F125" s="485">
        <f t="shared" si="44"/>
        <v>23670</v>
      </c>
      <c r="G125" s="485">
        <f t="shared" si="45"/>
        <v>24354.5</v>
      </c>
      <c r="H125" s="488">
        <f t="shared" si="46"/>
        <v>4140.3665778847853</v>
      </c>
      <c r="I125" s="542">
        <f t="shared" si="47"/>
        <v>4140.3665778847853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 ht="12.5">
      <c r="B126" s="160" t="str">
        <f t="shared" si="32"/>
        <v/>
      </c>
      <c r="C126" s="472">
        <f>IF(D93="","-",+C125+1)</f>
        <v>2033</v>
      </c>
      <c r="D126" s="346">
        <f>IF(F125+SUM(E$99:E125)=D$92,F125,D$92-SUM(E$99:E125))</f>
        <v>23670</v>
      </c>
      <c r="E126" s="486">
        <f>IF(+J96&lt;F125,J96,D126)</f>
        <v>1369</v>
      </c>
      <c r="F126" s="485">
        <f t="shared" si="44"/>
        <v>22301</v>
      </c>
      <c r="G126" s="485">
        <f t="shared" si="45"/>
        <v>22985.5</v>
      </c>
      <c r="H126" s="488">
        <f t="shared" si="46"/>
        <v>3984.5842442247113</v>
      </c>
      <c r="I126" s="542">
        <f t="shared" si="47"/>
        <v>3984.5842442247113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 ht="12.5">
      <c r="B127" s="160" t="str">
        <f t="shared" si="32"/>
        <v/>
      </c>
      <c r="C127" s="472">
        <f>IF(D93="","-",+C126+1)</f>
        <v>2034</v>
      </c>
      <c r="D127" s="346">
        <f>IF(F126+SUM(E$99:E126)=D$92,F126,D$92-SUM(E$99:E126))</f>
        <v>22301</v>
      </c>
      <c r="E127" s="486">
        <f>IF(+J96&lt;F126,J96,D127)</f>
        <v>1369</v>
      </c>
      <c r="F127" s="485">
        <f t="shared" si="44"/>
        <v>20932</v>
      </c>
      <c r="G127" s="485">
        <f t="shared" si="45"/>
        <v>21616.5</v>
      </c>
      <c r="H127" s="488">
        <f t="shared" si="46"/>
        <v>3828.8019105646372</v>
      </c>
      <c r="I127" s="542">
        <f t="shared" si="47"/>
        <v>3828.8019105646372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 ht="12.5">
      <c r="B128" s="160" t="str">
        <f t="shared" si="32"/>
        <v/>
      </c>
      <c r="C128" s="472">
        <f>IF(D93="","-",+C127+1)</f>
        <v>2035</v>
      </c>
      <c r="D128" s="346">
        <f>IF(F127+SUM(E$99:E127)=D$92,F127,D$92-SUM(E$99:E127))</f>
        <v>20932</v>
      </c>
      <c r="E128" s="486">
        <f>IF(+J96&lt;F127,J96,D128)</f>
        <v>1369</v>
      </c>
      <c r="F128" s="485">
        <f t="shared" si="44"/>
        <v>19563</v>
      </c>
      <c r="G128" s="485">
        <f t="shared" si="45"/>
        <v>20247.5</v>
      </c>
      <c r="H128" s="488">
        <f t="shared" si="46"/>
        <v>3673.0195769045636</v>
      </c>
      <c r="I128" s="542">
        <f t="shared" si="47"/>
        <v>3673.0195769045636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 ht="12.5">
      <c r="B129" s="160" t="str">
        <f t="shared" si="32"/>
        <v/>
      </c>
      <c r="C129" s="472">
        <f>IF(D93="","-",+C128+1)</f>
        <v>2036</v>
      </c>
      <c r="D129" s="346">
        <f>IF(F128+SUM(E$99:E128)=D$92,F128,D$92-SUM(E$99:E128))</f>
        <v>19563</v>
      </c>
      <c r="E129" s="486">
        <f>IF(+J96&lt;F128,J96,D129)</f>
        <v>1369</v>
      </c>
      <c r="F129" s="485">
        <f t="shared" si="44"/>
        <v>18194</v>
      </c>
      <c r="G129" s="485">
        <f t="shared" si="45"/>
        <v>18878.5</v>
      </c>
      <c r="H129" s="488">
        <f t="shared" si="46"/>
        <v>3517.2372432444895</v>
      </c>
      <c r="I129" s="542">
        <f t="shared" si="47"/>
        <v>3517.2372432444895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 ht="12.5">
      <c r="B130" s="160" t="str">
        <f t="shared" si="32"/>
        <v/>
      </c>
      <c r="C130" s="472">
        <f>IF(D93="","-",+C129+1)</f>
        <v>2037</v>
      </c>
      <c r="D130" s="346">
        <f>IF(F129+SUM(E$99:E129)=D$92,F129,D$92-SUM(E$99:E129))</f>
        <v>18194</v>
      </c>
      <c r="E130" s="486">
        <f>IF(+J96&lt;F129,J96,D130)</f>
        <v>1369</v>
      </c>
      <c r="F130" s="485">
        <f t="shared" si="44"/>
        <v>16825</v>
      </c>
      <c r="G130" s="485">
        <f t="shared" si="45"/>
        <v>17509.5</v>
      </c>
      <c r="H130" s="488">
        <f t="shared" si="46"/>
        <v>3361.4549095844154</v>
      </c>
      <c r="I130" s="542">
        <f t="shared" si="47"/>
        <v>3361.4549095844154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 ht="12.5">
      <c r="B131" s="160" t="str">
        <f t="shared" si="32"/>
        <v/>
      </c>
      <c r="C131" s="472">
        <f>IF(D93="","-",+C130+1)</f>
        <v>2038</v>
      </c>
      <c r="D131" s="346">
        <f>IF(F130+SUM(E$99:E130)=D$92,F130,D$92-SUM(E$99:E130))</f>
        <v>16825</v>
      </c>
      <c r="E131" s="486">
        <f>IF(+J96&lt;F130,J96,D131)</f>
        <v>1369</v>
      </c>
      <c r="F131" s="485">
        <f t="shared" ref="F131:F154" si="48">+D131-E131</f>
        <v>15456</v>
      </c>
      <c r="G131" s="485">
        <f t="shared" ref="G131:G154" si="49">+(F131+D131)/2</f>
        <v>16140.5</v>
      </c>
      <c r="H131" s="488">
        <f t="shared" si="46"/>
        <v>3205.6725759243418</v>
      </c>
      <c r="I131" s="542">
        <f t="shared" si="47"/>
        <v>3205.6725759243418</v>
      </c>
      <c r="J131" s="478">
        <f t="shared" ref="J131:J154" si="50">+I131-H131</f>
        <v>0</v>
      </c>
      <c r="K131" s="478"/>
      <c r="L131" s="487"/>
      <c r="M131" s="478">
        <f t="shared" ref="M131:M154" si="51">IF(L131&lt;&gt;0,+H131-L131,0)</f>
        <v>0</v>
      </c>
      <c r="N131" s="487"/>
      <c r="O131" s="478">
        <f t="shared" ref="O131:O154" si="52">IF(N131&lt;&gt;0,+I131-N131,0)</f>
        <v>0</v>
      </c>
      <c r="P131" s="478">
        <f t="shared" ref="P131:P154" si="53">+O131-M131</f>
        <v>0</v>
      </c>
    </row>
    <row r="132" spans="2:16" ht="12.5">
      <c r="B132" s="160" t="str">
        <f t="shared" si="32"/>
        <v/>
      </c>
      <c r="C132" s="472">
        <f>IF(D93="","-",+C131+1)</f>
        <v>2039</v>
      </c>
      <c r="D132" s="346">
        <f>IF(F131+SUM(E$99:E131)=D$92,F131,D$92-SUM(E$99:E131))</f>
        <v>15456</v>
      </c>
      <c r="E132" s="486">
        <f>IF(+J96&lt;F131,J96,D132)</f>
        <v>1369</v>
      </c>
      <c r="F132" s="485">
        <f t="shared" si="48"/>
        <v>14087</v>
      </c>
      <c r="G132" s="485">
        <f t="shared" si="49"/>
        <v>14771.5</v>
      </c>
      <c r="H132" s="488">
        <f t="shared" si="46"/>
        <v>3049.8902422642677</v>
      </c>
      <c r="I132" s="542">
        <f t="shared" si="47"/>
        <v>3049.8902422642677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 ht="12.5">
      <c r="B133" s="160" t="str">
        <f t="shared" si="32"/>
        <v/>
      </c>
      <c r="C133" s="472">
        <f>IF(D93="","-",+C132+1)</f>
        <v>2040</v>
      </c>
      <c r="D133" s="346">
        <f>IF(F132+SUM(E$99:E132)=D$92,F132,D$92-SUM(E$99:E132))</f>
        <v>14087</v>
      </c>
      <c r="E133" s="486">
        <f>IF(+J96&lt;F132,J96,D133)</f>
        <v>1369</v>
      </c>
      <c r="F133" s="485">
        <f t="shared" si="48"/>
        <v>12718</v>
      </c>
      <c r="G133" s="485">
        <f t="shared" si="49"/>
        <v>13402.5</v>
      </c>
      <c r="H133" s="488">
        <f t="shared" si="46"/>
        <v>2894.1079086041937</v>
      </c>
      <c r="I133" s="542">
        <f t="shared" si="47"/>
        <v>2894.1079086041937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 ht="12.5">
      <c r="B134" s="160" t="str">
        <f t="shared" si="32"/>
        <v/>
      </c>
      <c r="C134" s="472">
        <f>IF(D93="","-",+C133+1)</f>
        <v>2041</v>
      </c>
      <c r="D134" s="346">
        <f>IF(F133+SUM(E$99:E133)=D$92,F133,D$92-SUM(E$99:E133))</f>
        <v>12718</v>
      </c>
      <c r="E134" s="486">
        <f>IF(+J96&lt;F133,J96,D134)</f>
        <v>1369</v>
      </c>
      <c r="F134" s="485">
        <f t="shared" si="48"/>
        <v>11349</v>
      </c>
      <c r="G134" s="485">
        <f t="shared" si="49"/>
        <v>12033.5</v>
      </c>
      <c r="H134" s="488">
        <f t="shared" si="46"/>
        <v>2738.3255749441196</v>
      </c>
      <c r="I134" s="542">
        <f t="shared" si="47"/>
        <v>2738.3255749441196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 ht="12.5">
      <c r="B135" s="160" t="str">
        <f t="shared" si="32"/>
        <v/>
      </c>
      <c r="C135" s="472">
        <f>IF(D93="","-",+C134+1)</f>
        <v>2042</v>
      </c>
      <c r="D135" s="346">
        <f>IF(F134+SUM(E$99:E134)=D$92,F134,D$92-SUM(E$99:E134))</f>
        <v>11349</v>
      </c>
      <c r="E135" s="486">
        <f>IF(+J96&lt;F134,J96,D135)</f>
        <v>1369</v>
      </c>
      <c r="F135" s="485">
        <f t="shared" si="48"/>
        <v>9980</v>
      </c>
      <c r="G135" s="485">
        <f t="shared" si="49"/>
        <v>10664.5</v>
      </c>
      <c r="H135" s="488">
        <f t="shared" si="46"/>
        <v>2582.5432412840455</v>
      </c>
      <c r="I135" s="542">
        <f t="shared" si="47"/>
        <v>2582.5432412840455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 ht="12.5">
      <c r="B136" s="160" t="str">
        <f t="shared" si="32"/>
        <v/>
      </c>
      <c r="C136" s="472">
        <f>IF(D93="","-",+C135+1)</f>
        <v>2043</v>
      </c>
      <c r="D136" s="346">
        <f>IF(F135+SUM(E$99:E135)=D$92,F135,D$92-SUM(E$99:E135))</f>
        <v>9980</v>
      </c>
      <c r="E136" s="486">
        <f>IF(+J96&lt;F135,J96,D136)</f>
        <v>1369</v>
      </c>
      <c r="F136" s="485">
        <f t="shared" si="48"/>
        <v>8611</v>
      </c>
      <c r="G136" s="485">
        <f t="shared" si="49"/>
        <v>9295.5</v>
      </c>
      <c r="H136" s="488">
        <f t="shared" si="46"/>
        <v>2426.7609076239719</v>
      </c>
      <c r="I136" s="542">
        <f t="shared" si="47"/>
        <v>2426.7609076239719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 ht="12.5">
      <c r="B137" s="160" t="str">
        <f t="shared" si="32"/>
        <v/>
      </c>
      <c r="C137" s="472">
        <f>IF(D93="","-",+C136+1)</f>
        <v>2044</v>
      </c>
      <c r="D137" s="346">
        <f>IF(F136+SUM(E$99:E136)=D$92,F136,D$92-SUM(E$99:E136))</f>
        <v>8611</v>
      </c>
      <c r="E137" s="486">
        <f>IF(+J96&lt;F136,J96,D137)</f>
        <v>1369</v>
      </c>
      <c r="F137" s="485">
        <f t="shared" si="48"/>
        <v>7242</v>
      </c>
      <c r="G137" s="485">
        <f t="shared" si="49"/>
        <v>7926.5</v>
      </c>
      <c r="H137" s="488">
        <f t="shared" si="46"/>
        <v>2270.9785739638978</v>
      </c>
      <c r="I137" s="542">
        <f t="shared" si="47"/>
        <v>2270.9785739638978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 ht="12.5">
      <c r="B138" s="160" t="str">
        <f t="shared" si="32"/>
        <v/>
      </c>
      <c r="C138" s="472">
        <f>IF(D93="","-",+C137+1)</f>
        <v>2045</v>
      </c>
      <c r="D138" s="346">
        <f>IF(F137+SUM(E$99:E137)=D$92,F137,D$92-SUM(E$99:E137))</f>
        <v>7242</v>
      </c>
      <c r="E138" s="486">
        <f>IF(+J96&lt;F137,J96,D138)</f>
        <v>1369</v>
      </c>
      <c r="F138" s="485">
        <f t="shared" si="48"/>
        <v>5873</v>
      </c>
      <c r="G138" s="485">
        <f t="shared" si="49"/>
        <v>6557.5</v>
      </c>
      <c r="H138" s="488">
        <f t="shared" si="46"/>
        <v>2115.1962403038242</v>
      </c>
      <c r="I138" s="542">
        <f t="shared" si="47"/>
        <v>2115.1962403038242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 ht="12.5">
      <c r="B139" s="160" t="str">
        <f t="shared" si="32"/>
        <v/>
      </c>
      <c r="C139" s="472">
        <f>IF(D93="","-",+C138+1)</f>
        <v>2046</v>
      </c>
      <c r="D139" s="346">
        <f>IF(F138+SUM(E$99:E138)=D$92,F138,D$92-SUM(E$99:E138))</f>
        <v>5873</v>
      </c>
      <c r="E139" s="486">
        <f>IF(+J96&lt;F138,J96,D139)</f>
        <v>1369</v>
      </c>
      <c r="F139" s="485">
        <f t="shared" si="48"/>
        <v>4504</v>
      </c>
      <c r="G139" s="485">
        <f t="shared" si="49"/>
        <v>5188.5</v>
      </c>
      <c r="H139" s="488">
        <f t="shared" si="46"/>
        <v>1959.4139066437501</v>
      </c>
      <c r="I139" s="542">
        <f t="shared" si="47"/>
        <v>1959.4139066437501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 ht="12.5">
      <c r="B140" s="160" t="str">
        <f t="shared" si="32"/>
        <v/>
      </c>
      <c r="C140" s="472">
        <f>IF(D93="","-",+C139+1)</f>
        <v>2047</v>
      </c>
      <c r="D140" s="346">
        <f>IF(F139+SUM(E$99:E139)=D$92,F139,D$92-SUM(E$99:E139))</f>
        <v>4504</v>
      </c>
      <c r="E140" s="486">
        <f>IF(+J96&lt;F139,J96,D140)</f>
        <v>1369</v>
      </c>
      <c r="F140" s="485">
        <f t="shared" si="48"/>
        <v>3135</v>
      </c>
      <c r="G140" s="485">
        <f t="shared" si="49"/>
        <v>3819.5</v>
      </c>
      <c r="H140" s="488">
        <f t="shared" si="46"/>
        <v>1803.6315729836761</v>
      </c>
      <c r="I140" s="542">
        <f t="shared" si="47"/>
        <v>1803.6315729836761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 ht="12.5">
      <c r="B141" s="160" t="str">
        <f t="shared" si="32"/>
        <v/>
      </c>
      <c r="C141" s="472">
        <f>IF(D93="","-",+C140+1)</f>
        <v>2048</v>
      </c>
      <c r="D141" s="346">
        <f>IF(F140+SUM(E$99:E140)=D$92,F140,D$92-SUM(E$99:E140))</f>
        <v>3135</v>
      </c>
      <c r="E141" s="486">
        <f>IF(+J96&lt;F140,J96,D141)</f>
        <v>1369</v>
      </c>
      <c r="F141" s="485">
        <f t="shared" si="48"/>
        <v>1766</v>
      </c>
      <c r="G141" s="485">
        <f t="shared" si="49"/>
        <v>2450.5</v>
      </c>
      <c r="H141" s="488">
        <f t="shared" si="46"/>
        <v>1647.849239323602</v>
      </c>
      <c r="I141" s="542">
        <f t="shared" si="47"/>
        <v>1647.849239323602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 ht="12.5">
      <c r="B142" s="160" t="str">
        <f t="shared" si="32"/>
        <v/>
      </c>
      <c r="C142" s="472">
        <f>IF(D93="","-",+C141+1)</f>
        <v>2049</v>
      </c>
      <c r="D142" s="346">
        <f>IF(F141+SUM(E$99:E141)=D$92,F141,D$92-SUM(E$99:E141))</f>
        <v>1766</v>
      </c>
      <c r="E142" s="486">
        <f>IF(+J96&lt;F141,J96,D142)</f>
        <v>1369</v>
      </c>
      <c r="F142" s="485">
        <f t="shared" si="48"/>
        <v>397</v>
      </c>
      <c r="G142" s="485">
        <f t="shared" si="49"/>
        <v>1081.5</v>
      </c>
      <c r="H142" s="488">
        <f t="shared" si="46"/>
        <v>1492.0669056635281</v>
      </c>
      <c r="I142" s="542">
        <f t="shared" si="47"/>
        <v>1492.0669056635281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 ht="12.5">
      <c r="B143" s="160" t="str">
        <f t="shared" si="32"/>
        <v/>
      </c>
      <c r="C143" s="472">
        <f>IF(D93="","-",+C142+1)</f>
        <v>2050</v>
      </c>
      <c r="D143" s="346">
        <f>IF(F142+SUM(E$99:E142)=D$92,F142,D$92-SUM(E$99:E142))</f>
        <v>397</v>
      </c>
      <c r="E143" s="486">
        <f>IF(+J96&lt;F142,J96,D143)</f>
        <v>397</v>
      </c>
      <c r="F143" s="485">
        <f t="shared" si="48"/>
        <v>0</v>
      </c>
      <c r="G143" s="485">
        <f t="shared" si="49"/>
        <v>198.5</v>
      </c>
      <c r="H143" s="488">
        <f t="shared" si="46"/>
        <v>419.58786941674555</v>
      </c>
      <c r="I143" s="542">
        <f t="shared" si="47"/>
        <v>419.58786941674555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 ht="12.5">
      <c r="B144" s="160" t="str">
        <f t="shared" si="32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8"/>
        <v>0</v>
      </c>
      <c r="G144" s="485">
        <f t="shared" si="49"/>
        <v>0</v>
      </c>
      <c r="H144" s="488">
        <f t="shared" si="46"/>
        <v>0</v>
      </c>
      <c r="I144" s="542">
        <f t="shared" si="47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 ht="12.5">
      <c r="B145" s="160" t="str">
        <f t="shared" si="32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8"/>
        <v>0</v>
      </c>
      <c r="G145" s="485">
        <f t="shared" si="49"/>
        <v>0</v>
      </c>
      <c r="H145" s="488">
        <f t="shared" si="46"/>
        <v>0</v>
      </c>
      <c r="I145" s="542">
        <f t="shared" si="47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 ht="12.5">
      <c r="B146" s="160" t="str">
        <f t="shared" si="32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8"/>
        <v>0</v>
      </c>
      <c r="G146" s="485">
        <f t="shared" si="49"/>
        <v>0</v>
      </c>
      <c r="H146" s="488">
        <f t="shared" si="46"/>
        <v>0</v>
      </c>
      <c r="I146" s="542">
        <f t="shared" si="47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 ht="12.5">
      <c r="B147" s="160" t="str">
        <f t="shared" si="32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8"/>
        <v>0</v>
      </c>
      <c r="G147" s="485">
        <f t="shared" si="49"/>
        <v>0</v>
      </c>
      <c r="H147" s="488">
        <f t="shared" si="46"/>
        <v>0</v>
      </c>
      <c r="I147" s="542">
        <f t="shared" si="47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 ht="12.5">
      <c r="B148" s="160" t="str">
        <f t="shared" si="32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8"/>
        <v>0</v>
      </c>
      <c r="G148" s="485">
        <f t="shared" si="49"/>
        <v>0</v>
      </c>
      <c r="H148" s="488">
        <f t="shared" si="46"/>
        <v>0</v>
      </c>
      <c r="I148" s="542">
        <f t="shared" si="47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 ht="12.5">
      <c r="B149" s="160" t="str">
        <f t="shared" si="32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8"/>
        <v>0</v>
      </c>
      <c r="G149" s="485">
        <f t="shared" si="49"/>
        <v>0</v>
      </c>
      <c r="H149" s="488">
        <f t="shared" si="46"/>
        <v>0</v>
      </c>
      <c r="I149" s="542">
        <f t="shared" si="47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 ht="12.5">
      <c r="B150" s="160" t="str">
        <f t="shared" si="32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8"/>
        <v>0</v>
      </c>
      <c r="G150" s="485">
        <f t="shared" si="49"/>
        <v>0</v>
      </c>
      <c r="H150" s="488">
        <f t="shared" si="46"/>
        <v>0</v>
      </c>
      <c r="I150" s="542">
        <f t="shared" si="47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 ht="12.5">
      <c r="B151" s="160" t="str">
        <f t="shared" si="32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8"/>
        <v>0</v>
      </c>
      <c r="G151" s="485">
        <f t="shared" si="49"/>
        <v>0</v>
      </c>
      <c r="H151" s="488">
        <f t="shared" si="46"/>
        <v>0</v>
      </c>
      <c r="I151" s="542">
        <f t="shared" si="47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 ht="12.5">
      <c r="B152" s="160" t="str">
        <f t="shared" si="32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8"/>
        <v>0</v>
      </c>
      <c r="G152" s="485">
        <f t="shared" si="49"/>
        <v>0</v>
      </c>
      <c r="H152" s="488">
        <f t="shared" si="46"/>
        <v>0</v>
      </c>
      <c r="I152" s="542">
        <f t="shared" si="47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 ht="12.5">
      <c r="B153" s="160" t="str">
        <f t="shared" si="32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8"/>
        <v>0</v>
      </c>
      <c r="G153" s="485">
        <f t="shared" si="49"/>
        <v>0</v>
      </c>
      <c r="H153" s="488">
        <f t="shared" si="46"/>
        <v>0</v>
      </c>
      <c r="I153" s="542">
        <f t="shared" si="47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" thickBot="1">
      <c r="B154" s="160" t="str">
        <f t="shared" si="32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8"/>
        <v>0</v>
      </c>
      <c r="G154" s="490">
        <f t="shared" si="49"/>
        <v>0</v>
      </c>
      <c r="H154" s="492">
        <f t="shared" si="46"/>
        <v>0</v>
      </c>
      <c r="I154" s="545">
        <f t="shared" si="47"/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 ht="12.5">
      <c r="C155" s="346" t="s">
        <v>77</v>
      </c>
      <c r="D155" s="347"/>
      <c r="E155" s="347">
        <f>SUM(E99:E154)</f>
        <v>56133</v>
      </c>
      <c r="F155" s="347"/>
      <c r="G155" s="347"/>
      <c r="H155" s="347">
        <f>SUM(H99:H154)</f>
        <v>206613.99314961873</v>
      </c>
      <c r="I155" s="347">
        <f>SUM(I99:I154)</f>
        <v>206613.99314961873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>
    <tabColor rgb="FFC0000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9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7517.475137068097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7517.475137068097</v>
      </c>
      <c r="O6" s="232"/>
      <c r="P6" s="232"/>
    </row>
    <row r="7" spans="1:16" ht="13.5" thickBot="1">
      <c r="C7" s="431" t="s">
        <v>46</v>
      </c>
      <c r="D7" s="432" t="s">
        <v>216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88</v>
      </c>
      <c r="E9" s="577" t="s">
        <v>346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72551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1860.2820512820513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2007</v>
      </c>
      <c r="D17" s="473">
        <v>72551</v>
      </c>
      <c r="E17" s="474">
        <v>863.70238095238085</v>
      </c>
      <c r="F17" s="473">
        <v>71687.297619047618</v>
      </c>
      <c r="G17" s="474">
        <v>11207.929543529199</v>
      </c>
      <c r="H17" s="481">
        <v>11207.929543529199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2008</v>
      </c>
      <c r="D18" s="479">
        <v>71687.297619047618</v>
      </c>
      <c r="E18" s="480">
        <v>1295.5535714285713</v>
      </c>
      <c r="F18" s="479">
        <v>70391.744047619053</v>
      </c>
      <c r="G18" s="480">
        <v>11452.836869621469</v>
      </c>
      <c r="H18" s="481">
        <v>11452.836869621469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2009</v>
      </c>
      <c r="D19" s="479">
        <v>70391.744047619053</v>
      </c>
      <c r="E19" s="480">
        <v>1295.5535714285713</v>
      </c>
      <c r="F19" s="479">
        <v>69096.190476190488</v>
      </c>
      <c r="G19" s="480">
        <v>11265.893005237553</v>
      </c>
      <c r="H19" s="481">
        <v>11265.893005237553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2010</v>
      </c>
      <c r="D20" s="479">
        <v>69096.190476190488</v>
      </c>
      <c r="E20" s="480">
        <v>1295.5535714285713</v>
      </c>
      <c r="F20" s="479">
        <v>67800.636904761923</v>
      </c>
      <c r="G20" s="480">
        <v>11078.949140853634</v>
      </c>
      <c r="H20" s="481">
        <v>11078.949140853634</v>
      </c>
      <c r="I20" s="475">
        <f t="shared" si="0"/>
        <v>0</v>
      </c>
      <c r="J20" s="475"/>
      <c r="K20" s="540">
        <f t="shared" ref="K20:K25" si="5">G20</f>
        <v>11078.949140853634</v>
      </c>
      <c r="L20" s="541">
        <f t="shared" si="1"/>
        <v>0</v>
      </c>
      <c r="M20" s="540">
        <f t="shared" ref="M20:M25" si="6">H20</f>
        <v>11078.949140853634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4"/>
        <v/>
      </c>
      <c r="C21" s="472">
        <f>IF(D11="","-",+C20+1)</f>
        <v>2011</v>
      </c>
      <c r="D21" s="479">
        <v>67800.636904761923</v>
      </c>
      <c r="E21" s="480">
        <v>1422.5686274509803</v>
      </c>
      <c r="F21" s="479">
        <v>66378.068277310944</v>
      </c>
      <c r="G21" s="480">
        <v>11813.613268851301</v>
      </c>
      <c r="H21" s="481">
        <v>11813.613268851301</v>
      </c>
      <c r="I21" s="475">
        <f t="shared" si="0"/>
        <v>0</v>
      </c>
      <c r="J21" s="475"/>
      <c r="K21" s="476">
        <f t="shared" si="5"/>
        <v>11813.613268851301</v>
      </c>
      <c r="L21" s="550">
        <f t="shared" si="1"/>
        <v>0</v>
      </c>
      <c r="M21" s="476">
        <f t="shared" si="6"/>
        <v>11813.613268851301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4"/>
        <v/>
      </c>
      <c r="C22" s="472">
        <f>IF(D11="","-",+C21+1)</f>
        <v>2012</v>
      </c>
      <c r="D22" s="479">
        <v>66378.068277310944</v>
      </c>
      <c r="E22" s="480">
        <v>1395.2115384615386</v>
      </c>
      <c r="F22" s="479">
        <v>64982.856738849405</v>
      </c>
      <c r="G22" s="480">
        <v>10441.262785463339</v>
      </c>
      <c r="H22" s="481">
        <v>10441.262785463339</v>
      </c>
      <c r="I22" s="475">
        <f t="shared" si="0"/>
        <v>0</v>
      </c>
      <c r="J22" s="475"/>
      <c r="K22" s="476">
        <f t="shared" si="5"/>
        <v>10441.262785463339</v>
      </c>
      <c r="L22" s="550">
        <f t="shared" si="1"/>
        <v>0</v>
      </c>
      <c r="M22" s="476">
        <f t="shared" si="6"/>
        <v>10441.262785463339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4"/>
        <v/>
      </c>
      <c r="C23" s="472">
        <f>IF(D11="","-",+C22+1)</f>
        <v>2013</v>
      </c>
      <c r="D23" s="479">
        <v>64982.856738849405</v>
      </c>
      <c r="E23" s="480">
        <v>1395.2115384615386</v>
      </c>
      <c r="F23" s="479">
        <v>63587.645200387866</v>
      </c>
      <c r="G23" s="480">
        <v>10475.957148527981</v>
      </c>
      <c r="H23" s="481">
        <v>10475.957148527981</v>
      </c>
      <c r="I23" s="475">
        <v>0</v>
      </c>
      <c r="J23" s="475"/>
      <c r="K23" s="476">
        <f t="shared" si="5"/>
        <v>10475.957148527981</v>
      </c>
      <c r="L23" s="550">
        <f t="shared" ref="L23:L28" si="7">IF(K23&lt;&gt;0,+G23-K23,0)</f>
        <v>0</v>
      </c>
      <c r="M23" s="476">
        <f t="shared" si="6"/>
        <v>10475.957148527981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 ht="12.5">
      <c r="B24" s="160" t="str">
        <f t="shared" si="4"/>
        <v/>
      </c>
      <c r="C24" s="472">
        <f>IF(D11="","-",+C23+1)</f>
        <v>2014</v>
      </c>
      <c r="D24" s="479">
        <v>63587.645200387866</v>
      </c>
      <c r="E24" s="480">
        <v>1395.2115384615386</v>
      </c>
      <c r="F24" s="479">
        <v>62192.433661926327</v>
      </c>
      <c r="G24" s="480">
        <v>9956.5453160541092</v>
      </c>
      <c r="H24" s="481">
        <v>9956.5453160541092</v>
      </c>
      <c r="I24" s="475">
        <v>0</v>
      </c>
      <c r="J24" s="475"/>
      <c r="K24" s="476">
        <f t="shared" si="5"/>
        <v>9956.5453160541092</v>
      </c>
      <c r="L24" s="550">
        <f t="shared" si="7"/>
        <v>0</v>
      </c>
      <c r="M24" s="476">
        <f t="shared" si="6"/>
        <v>9956.5453160541092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4"/>
        <v/>
      </c>
      <c r="C25" s="472">
        <f>IF(D11="","-",+C24+1)</f>
        <v>2015</v>
      </c>
      <c r="D25" s="479">
        <v>62192.433661926327</v>
      </c>
      <c r="E25" s="480">
        <v>1395.2115384615386</v>
      </c>
      <c r="F25" s="479">
        <v>60797.222123464788</v>
      </c>
      <c r="G25" s="480">
        <v>9777.4252794187214</v>
      </c>
      <c r="H25" s="481">
        <v>9777.4252794187214</v>
      </c>
      <c r="I25" s="475">
        <v>0</v>
      </c>
      <c r="J25" s="475"/>
      <c r="K25" s="476">
        <f t="shared" si="5"/>
        <v>9777.4252794187214</v>
      </c>
      <c r="L25" s="550">
        <f t="shared" si="7"/>
        <v>0</v>
      </c>
      <c r="M25" s="476">
        <f t="shared" si="6"/>
        <v>9777.4252794187214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4"/>
        <v/>
      </c>
      <c r="C26" s="472">
        <f>IF(D11="","-",+C25+1)</f>
        <v>2016</v>
      </c>
      <c r="D26" s="479">
        <v>60797.222123464788</v>
      </c>
      <c r="E26" s="480">
        <v>1395.2115384615386</v>
      </c>
      <c r="F26" s="479">
        <v>59402.010585003249</v>
      </c>
      <c r="G26" s="480">
        <v>9186.357507240491</v>
      </c>
      <c r="H26" s="481">
        <v>9186.357507240491</v>
      </c>
      <c r="I26" s="475">
        <f t="shared" si="0"/>
        <v>0</v>
      </c>
      <c r="J26" s="475"/>
      <c r="K26" s="476">
        <f t="shared" ref="K26:K31" si="10">G26</f>
        <v>9186.357507240491</v>
      </c>
      <c r="L26" s="550">
        <f t="shared" si="7"/>
        <v>0</v>
      </c>
      <c r="M26" s="476">
        <f t="shared" ref="M26:M31" si="11">H26</f>
        <v>9186.357507240491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4"/>
        <v/>
      </c>
      <c r="C27" s="472">
        <f>IF(D11="","-",+C26+1)</f>
        <v>2017</v>
      </c>
      <c r="D27" s="479">
        <v>59402.010585003249</v>
      </c>
      <c r="E27" s="480">
        <v>1577.195652173913</v>
      </c>
      <c r="F27" s="479">
        <v>57824.814932829337</v>
      </c>
      <c r="G27" s="480">
        <v>8936.0194589414823</v>
      </c>
      <c r="H27" s="481">
        <v>8936.0194589414823</v>
      </c>
      <c r="I27" s="475">
        <f t="shared" si="0"/>
        <v>0</v>
      </c>
      <c r="J27" s="475"/>
      <c r="K27" s="476">
        <f t="shared" si="10"/>
        <v>8936.0194589414823</v>
      </c>
      <c r="L27" s="550">
        <f t="shared" si="7"/>
        <v>0</v>
      </c>
      <c r="M27" s="476">
        <f t="shared" si="11"/>
        <v>8936.0194589414823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4"/>
        <v/>
      </c>
      <c r="C28" s="472">
        <f>IF(D11="","-",+C27+1)</f>
        <v>2018</v>
      </c>
      <c r="D28" s="479">
        <v>57824.814932829337</v>
      </c>
      <c r="E28" s="480">
        <v>1612.2444444444445</v>
      </c>
      <c r="F28" s="479">
        <v>56212.570488384896</v>
      </c>
      <c r="G28" s="480">
        <v>8440.7426840086373</v>
      </c>
      <c r="H28" s="481">
        <v>8440.7426840086373</v>
      </c>
      <c r="I28" s="475">
        <f t="shared" si="0"/>
        <v>0</v>
      </c>
      <c r="J28" s="475"/>
      <c r="K28" s="476">
        <f t="shared" si="10"/>
        <v>8440.7426840086373</v>
      </c>
      <c r="L28" s="550">
        <f t="shared" si="7"/>
        <v>0</v>
      </c>
      <c r="M28" s="476">
        <f t="shared" si="11"/>
        <v>8440.7426840086373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4"/>
        <v/>
      </c>
      <c r="C29" s="472">
        <f>IF(D11="","-",+C28+1)</f>
        <v>2019</v>
      </c>
      <c r="D29" s="479">
        <v>56212.570488384896</v>
      </c>
      <c r="E29" s="480">
        <v>1813.7750000000001</v>
      </c>
      <c r="F29" s="479">
        <v>54398.795488384894</v>
      </c>
      <c r="G29" s="480">
        <v>7989.0212540933571</v>
      </c>
      <c r="H29" s="481">
        <v>7989.0212540933571</v>
      </c>
      <c r="I29" s="475">
        <f t="shared" si="0"/>
        <v>0</v>
      </c>
      <c r="J29" s="475"/>
      <c r="K29" s="476">
        <f t="shared" si="10"/>
        <v>7989.0212540933571</v>
      </c>
      <c r="L29" s="550">
        <f t="shared" ref="L29" si="12">IF(K29&lt;&gt;0,+G29-K29,0)</f>
        <v>0</v>
      </c>
      <c r="M29" s="476">
        <f t="shared" si="11"/>
        <v>7989.0212540933571</v>
      </c>
      <c r="N29" s="478">
        <f t="shared" ref="N29" si="13">IF(M29&lt;&gt;0,+H29-M29,0)</f>
        <v>0</v>
      </c>
      <c r="O29" s="478">
        <f t="shared" si="3"/>
        <v>0</v>
      </c>
      <c r="P29" s="242"/>
    </row>
    <row r="30" spans="2:16" ht="12.5">
      <c r="B30" s="160" t="str">
        <f t="shared" si="4"/>
        <v>IU</v>
      </c>
      <c r="C30" s="472">
        <f>IF(D11="","-",+C29+1)</f>
        <v>2020</v>
      </c>
      <c r="D30" s="479">
        <v>54600.326043940455</v>
      </c>
      <c r="E30" s="480">
        <v>1727.4047619047619</v>
      </c>
      <c r="F30" s="479">
        <v>52872.921282035692</v>
      </c>
      <c r="G30" s="480">
        <v>7531.2168125199005</v>
      </c>
      <c r="H30" s="481">
        <v>7531.2168125199005</v>
      </c>
      <c r="I30" s="475">
        <f t="shared" si="0"/>
        <v>0</v>
      </c>
      <c r="J30" s="475"/>
      <c r="K30" s="476">
        <f t="shared" si="10"/>
        <v>7531.2168125199005</v>
      </c>
      <c r="L30" s="550">
        <f t="shared" ref="L30" si="14">IF(K30&lt;&gt;0,+G30-K30,0)</f>
        <v>0</v>
      </c>
      <c r="M30" s="476">
        <f t="shared" si="11"/>
        <v>7531.2168125199005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4"/>
        <v>IU</v>
      </c>
      <c r="C31" s="472">
        <f>IF(D11="","-",+C30+1)</f>
        <v>2021</v>
      </c>
      <c r="D31" s="479">
        <v>52671.390726480109</v>
      </c>
      <c r="E31" s="480">
        <v>1687.2325581395348</v>
      </c>
      <c r="F31" s="479">
        <v>50984.158168340575</v>
      </c>
      <c r="G31" s="480">
        <v>7184.4287124898146</v>
      </c>
      <c r="H31" s="481">
        <v>7184.4287124898146</v>
      </c>
      <c r="I31" s="475">
        <f t="shared" si="0"/>
        <v>0</v>
      </c>
      <c r="J31" s="475"/>
      <c r="K31" s="476">
        <f t="shared" si="10"/>
        <v>7184.4287124898146</v>
      </c>
      <c r="L31" s="550">
        <f t="shared" ref="L31" si="15">IF(K31&lt;&gt;0,+G31-K31,0)</f>
        <v>0</v>
      </c>
      <c r="M31" s="476">
        <f t="shared" si="11"/>
        <v>7184.4287124898146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4"/>
        <v/>
      </c>
      <c r="C32" s="472">
        <f>IF(D11="","-",+C31+1)</f>
        <v>2022</v>
      </c>
      <c r="D32" s="479">
        <v>50984.158168340575</v>
      </c>
      <c r="E32" s="480">
        <v>1727.4047619047619</v>
      </c>
      <c r="F32" s="479">
        <v>49256.753406435811</v>
      </c>
      <c r="G32" s="480">
        <v>7037.8367110732015</v>
      </c>
      <c r="H32" s="481">
        <v>7037.8367110732015</v>
      </c>
      <c r="I32" s="475">
        <f t="shared" si="0"/>
        <v>0</v>
      </c>
      <c r="J32" s="475"/>
      <c r="K32" s="476">
        <f t="shared" ref="K32" si="16">G32</f>
        <v>7037.8367110732015</v>
      </c>
      <c r="L32" s="550">
        <f t="shared" ref="L32" si="17">IF(K32&lt;&gt;0,+G32-K32,0)</f>
        <v>0</v>
      </c>
      <c r="M32" s="476">
        <f t="shared" ref="M32" si="18">H32</f>
        <v>7037.8367110732015</v>
      </c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49256.753406435811</v>
      </c>
      <c r="E33" s="484">
        <f>IF(+I14&lt;F32,I14,D33)</f>
        <v>1860.2820512820513</v>
      </c>
      <c r="F33" s="485">
        <f t="shared" ref="F33:F48" si="19">+D33-E33</f>
        <v>47396.471355153757</v>
      </c>
      <c r="G33" s="486">
        <f t="shared" ref="G33:G72" si="20">+I$12*F33+E33</f>
        <v>7517.475137068097</v>
      </c>
      <c r="H33" s="455">
        <f t="shared" ref="H33:H72" si="21">+I$13*F33+E33</f>
        <v>7517.475137068097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47396.471355153757</v>
      </c>
      <c r="E34" s="484">
        <f>IF(+I14&lt;F33,I14,D34)</f>
        <v>1860.2820512820513</v>
      </c>
      <c r="F34" s="485">
        <f t="shared" si="19"/>
        <v>45536.189303871703</v>
      </c>
      <c r="G34" s="486">
        <f t="shared" si="20"/>
        <v>7295.4338235013984</v>
      </c>
      <c r="H34" s="455">
        <f t="shared" si="21"/>
        <v>7295.4338235013984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45536.189303871703</v>
      </c>
      <c r="E35" s="484">
        <f>IF(+I14&lt;F34,I14,D35)</f>
        <v>1860.2820512820513</v>
      </c>
      <c r="F35" s="485">
        <f t="shared" si="19"/>
        <v>43675.907252589648</v>
      </c>
      <c r="G35" s="486">
        <f t="shared" si="20"/>
        <v>7073.3925099346998</v>
      </c>
      <c r="H35" s="455">
        <f t="shared" si="21"/>
        <v>7073.3925099346998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43675.907252589648</v>
      </c>
      <c r="E36" s="484">
        <f>IF(+I14&lt;F35,I14,D36)</f>
        <v>1860.2820512820513</v>
      </c>
      <c r="F36" s="485">
        <f t="shared" si="19"/>
        <v>41815.625201307594</v>
      </c>
      <c r="G36" s="486">
        <f t="shared" si="20"/>
        <v>6851.351196368003</v>
      </c>
      <c r="H36" s="455">
        <f t="shared" si="21"/>
        <v>6851.351196368003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41815.625201307594</v>
      </c>
      <c r="E37" s="484">
        <f>IF(+I14&lt;F36,I14,D37)</f>
        <v>1860.2820512820513</v>
      </c>
      <c r="F37" s="485">
        <f t="shared" si="19"/>
        <v>39955.343150025539</v>
      </c>
      <c r="G37" s="486">
        <f t="shared" si="20"/>
        <v>6629.3098828013044</v>
      </c>
      <c r="H37" s="455">
        <f t="shared" si="21"/>
        <v>6629.3098828013044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39955.343150025539</v>
      </c>
      <c r="E38" s="484">
        <f>IF(+I14&lt;F37,I14,D38)</f>
        <v>1860.2820512820513</v>
      </c>
      <c r="F38" s="485">
        <f t="shared" si="19"/>
        <v>38095.061098743485</v>
      </c>
      <c r="G38" s="486">
        <f t="shared" si="20"/>
        <v>6407.2685692346058</v>
      </c>
      <c r="H38" s="455">
        <f t="shared" si="21"/>
        <v>6407.2685692346058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38095.061098743485</v>
      </c>
      <c r="E39" s="484">
        <f>IF(+I14&lt;F38,I14,D39)</f>
        <v>1860.2820512820513</v>
      </c>
      <c r="F39" s="485">
        <f t="shared" si="19"/>
        <v>36234.77904746143</v>
      </c>
      <c r="G39" s="486">
        <f t="shared" si="20"/>
        <v>6185.2272556679072</v>
      </c>
      <c r="H39" s="455">
        <f t="shared" si="21"/>
        <v>6185.2272556679072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36234.77904746143</v>
      </c>
      <c r="E40" s="484">
        <f>IF(+I14&lt;F39,I14,D40)</f>
        <v>1860.2820512820513</v>
      </c>
      <c r="F40" s="485">
        <f t="shared" si="19"/>
        <v>34374.496996179376</v>
      </c>
      <c r="G40" s="486">
        <f t="shared" si="20"/>
        <v>5963.1859421012105</v>
      </c>
      <c r="H40" s="455">
        <f t="shared" si="21"/>
        <v>5963.1859421012105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34374.496996179376</v>
      </c>
      <c r="E41" s="484">
        <f>IF(+I14&lt;F40,I14,D41)</f>
        <v>1860.2820512820513</v>
      </c>
      <c r="F41" s="485">
        <f t="shared" si="19"/>
        <v>32514.214944897325</v>
      </c>
      <c r="G41" s="486">
        <f t="shared" si="20"/>
        <v>5741.1446285345119</v>
      </c>
      <c r="H41" s="455">
        <f t="shared" si="21"/>
        <v>5741.1446285345119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32514.214944897325</v>
      </c>
      <c r="E42" s="484">
        <f>IF(+I14&lt;F41,I14,D42)</f>
        <v>1860.2820512820513</v>
      </c>
      <c r="F42" s="485">
        <f t="shared" si="19"/>
        <v>30653.932893615274</v>
      </c>
      <c r="G42" s="486">
        <f t="shared" si="20"/>
        <v>5519.1033149678151</v>
      </c>
      <c r="H42" s="455">
        <f t="shared" si="21"/>
        <v>5519.1033149678151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30653.932893615274</v>
      </c>
      <c r="E43" s="484">
        <f>IF(+I14&lt;F42,I14,D43)</f>
        <v>1860.2820512820513</v>
      </c>
      <c r="F43" s="485">
        <f t="shared" si="19"/>
        <v>28793.650842333223</v>
      </c>
      <c r="G43" s="486">
        <f t="shared" si="20"/>
        <v>5297.0620014011165</v>
      </c>
      <c r="H43" s="455">
        <f t="shared" si="21"/>
        <v>5297.0620014011165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28793.650842333223</v>
      </c>
      <c r="E44" s="484">
        <f>IF(+I14&lt;F43,I14,D44)</f>
        <v>1860.2820512820513</v>
      </c>
      <c r="F44" s="485">
        <f t="shared" si="19"/>
        <v>26933.368791051173</v>
      </c>
      <c r="G44" s="486">
        <f t="shared" si="20"/>
        <v>5075.0206878344197</v>
      </c>
      <c r="H44" s="455">
        <f t="shared" si="21"/>
        <v>5075.0206878344197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26933.368791051173</v>
      </c>
      <c r="E45" s="484">
        <f>IF(+I14&lt;F44,I14,D45)</f>
        <v>1860.2820512820513</v>
      </c>
      <c r="F45" s="485">
        <f t="shared" si="19"/>
        <v>25073.086739769122</v>
      </c>
      <c r="G45" s="486">
        <f t="shared" si="20"/>
        <v>4852.9793742677211</v>
      </c>
      <c r="H45" s="455">
        <f t="shared" si="21"/>
        <v>4852.9793742677211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25073.086739769122</v>
      </c>
      <c r="E46" s="484">
        <f>IF(+I14&lt;F45,I14,D46)</f>
        <v>1860.2820512820513</v>
      </c>
      <c r="F46" s="485">
        <f t="shared" si="19"/>
        <v>23212.804688487071</v>
      </c>
      <c r="G46" s="486">
        <f t="shared" si="20"/>
        <v>4630.9380607010244</v>
      </c>
      <c r="H46" s="455">
        <f t="shared" si="21"/>
        <v>4630.9380607010244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23212.804688487071</v>
      </c>
      <c r="E47" s="484">
        <f>IF(+I14&lt;F46,I14,D47)</f>
        <v>1860.2820512820513</v>
      </c>
      <c r="F47" s="485">
        <f t="shared" si="19"/>
        <v>21352.52263720502</v>
      </c>
      <c r="G47" s="486">
        <f t="shared" si="20"/>
        <v>4408.8967471343258</v>
      </c>
      <c r="H47" s="455">
        <f t="shared" si="21"/>
        <v>4408.8967471343258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21352.52263720502</v>
      </c>
      <c r="E48" s="484">
        <f>IF(+I14&lt;F47,I14,D48)</f>
        <v>1860.2820512820513</v>
      </c>
      <c r="F48" s="485">
        <f t="shared" si="19"/>
        <v>19492.240585922969</v>
      </c>
      <c r="G48" s="486">
        <f t="shared" si="20"/>
        <v>4186.855433567629</v>
      </c>
      <c r="H48" s="455">
        <f t="shared" si="21"/>
        <v>4186.855433567629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19492.240585922969</v>
      </c>
      <c r="E49" s="484">
        <f>IF(+I14&lt;F48,I14,D49)</f>
        <v>1860.2820512820513</v>
      </c>
      <c r="F49" s="485">
        <f t="shared" ref="F49:F72" si="22">+D49-E49</f>
        <v>17631.958534640919</v>
      </c>
      <c r="G49" s="486">
        <f t="shared" si="20"/>
        <v>3964.8141200009309</v>
      </c>
      <c r="H49" s="455">
        <f t="shared" si="21"/>
        <v>3964.8141200009309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2"/>
    </row>
    <row r="50" spans="2:16" ht="12.5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17631.958534640919</v>
      </c>
      <c r="E50" s="484">
        <f>IF(+I14&lt;F49,I14,D50)</f>
        <v>1860.2820512820513</v>
      </c>
      <c r="F50" s="485">
        <f t="shared" si="22"/>
        <v>15771.676483358868</v>
      </c>
      <c r="G50" s="486">
        <f t="shared" si="20"/>
        <v>3742.7728064342332</v>
      </c>
      <c r="H50" s="455">
        <f t="shared" si="21"/>
        <v>3742.7728064342332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2"/>
    </row>
    <row r="51" spans="2:16" ht="12.5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15771.676483358868</v>
      </c>
      <c r="E51" s="484">
        <f>IF(+I14&lt;F50,I14,D51)</f>
        <v>1860.2820512820513</v>
      </c>
      <c r="F51" s="485">
        <f t="shared" si="22"/>
        <v>13911.394432076817</v>
      </c>
      <c r="G51" s="486">
        <f t="shared" si="20"/>
        <v>3520.7314928675355</v>
      </c>
      <c r="H51" s="455">
        <f t="shared" si="21"/>
        <v>3520.7314928675355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2"/>
    </row>
    <row r="52" spans="2:16" ht="12.5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13911.394432076817</v>
      </c>
      <c r="E52" s="484">
        <f>IF(+I14&lt;F51,I14,D52)</f>
        <v>1860.2820512820513</v>
      </c>
      <c r="F52" s="485">
        <f t="shared" si="22"/>
        <v>12051.112380794766</v>
      </c>
      <c r="G52" s="486">
        <f t="shared" si="20"/>
        <v>3298.6901793008378</v>
      </c>
      <c r="H52" s="455">
        <f t="shared" si="21"/>
        <v>3298.6901793008378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2"/>
    </row>
    <row r="53" spans="2:16" ht="12.5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12051.112380794766</v>
      </c>
      <c r="E53" s="484">
        <f>IF(+I14&lt;F52,I14,D53)</f>
        <v>1860.2820512820513</v>
      </c>
      <c r="F53" s="485">
        <f t="shared" si="22"/>
        <v>10190.830329512715</v>
      </c>
      <c r="G53" s="486">
        <f t="shared" si="20"/>
        <v>3076.6488657341401</v>
      </c>
      <c r="H53" s="455">
        <f t="shared" si="21"/>
        <v>3076.6488657341401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2"/>
    </row>
    <row r="54" spans="2:16" ht="12.5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10190.830329512715</v>
      </c>
      <c r="E54" s="484">
        <f>IF(+I14&lt;F53,I14,D54)</f>
        <v>1860.2820512820513</v>
      </c>
      <c r="F54" s="485">
        <f t="shared" si="22"/>
        <v>8330.5482782306644</v>
      </c>
      <c r="G54" s="486">
        <f t="shared" si="20"/>
        <v>2854.6075521674425</v>
      </c>
      <c r="H54" s="455">
        <f t="shared" si="21"/>
        <v>2854.6075521674425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2"/>
    </row>
    <row r="55" spans="2:16" ht="12.5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8330.5482782306644</v>
      </c>
      <c r="E55" s="484">
        <f>IF(+I14&lt;F54,I14,D55)</f>
        <v>1860.2820512820513</v>
      </c>
      <c r="F55" s="485">
        <f t="shared" si="22"/>
        <v>6470.2662269486136</v>
      </c>
      <c r="G55" s="486">
        <f t="shared" si="20"/>
        <v>2632.5662386007448</v>
      </c>
      <c r="H55" s="455">
        <f t="shared" si="21"/>
        <v>2632.5662386007448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2"/>
    </row>
    <row r="56" spans="2:16" ht="12.5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6470.2662269486136</v>
      </c>
      <c r="E56" s="484">
        <f>IF(+I14&lt;F55,I14,D56)</f>
        <v>1860.2820512820513</v>
      </c>
      <c r="F56" s="485">
        <f t="shared" si="22"/>
        <v>4609.9841756665628</v>
      </c>
      <c r="G56" s="486">
        <f t="shared" si="20"/>
        <v>2410.5249250340471</v>
      </c>
      <c r="H56" s="455">
        <f t="shared" si="21"/>
        <v>2410.5249250340471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2"/>
    </row>
    <row r="57" spans="2:16" ht="12.5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4609.9841756665628</v>
      </c>
      <c r="E57" s="484">
        <f>IF(+I14&lt;F56,I14,D57)</f>
        <v>1860.2820512820513</v>
      </c>
      <c r="F57" s="485">
        <f t="shared" si="22"/>
        <v>2749.7021243845115</v>
      </c>
      <c r="G57" s="486">
        <f t="shared" si="20"/>
        <v>2188.4836114673494</v>
      </c>
      <c r="H57" s="455">
        <f t="shared" si="21"/>
        <v>2188.4836114673494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2"/>
    </row>
    <row r="58" spans="2:16" ht="12.5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2749.7021243845115</v>
      </c>
      <c r="E58" s="484">
        <f>IF(+I14&lt;F57,I14,D58)</f>
        <v>1860.2820512820513</v>
      </c>
      <c r="F58" s="485">
        <f t="shared" si="22"/>
        <v>889.42007310246026</v>
      </c>
      <c r="G58" s="486">
        <f t="shared" si="20"/>
        <v>1966.4422979006517</v>
      </c>
      <c r="H58" s="455">
        <f t="shared" si="21"/>
        <v>1966.4422979006517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2"/>
    </row>
    <row r="59" spans="2:16" ht="12.5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889.42007310246026</v>
      </c>
      <c r="E59" s="484">
        <f>IF(+I14&lt;F58,I14,D59)</f>
        <v>889.42007310246026</v>
      </c>
      <c r="F59" s="485">
        <f t="shared" si="22"/>
        <v>0</v>
      </c>
      <c r="G59" s="486">
        <f t="shared" si="20"/>
        <v>889.42007310246026</v>
      </c>
      <c r="H59" s="455">
        <f t="shared" si="21"/>
        <v>889.42007310246026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2"/>
    </row>
    <row r="60" spans="2:16" ht="12.5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2"/>
        <v>0</v>
      </c>
      <c r="G60" s="486">
        <f t="shared" si="20"/>
        <v>0</v>
      </c>
      <c r="H60" s="455">
        <f t="shared" si="21"/>
        <v>0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2"/>
    </row>
    <row r="61" spans="2:16" ht="12.5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2"/>
        <v>0</v>
      </c>
      <c r="G61" s="488">
        <f t="shared" si="20"/>
        <v>0</v>
      </c>
      <c r="H61" s="455">
        <f t="shared" si="21"/>
        <v>0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2"/>
    </row>
    <row r="62" spans="2:16" ht="12.5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2"/>
        <v>0</v>
      </c>
      <c r="G62" s="488">
        <f t="shared" si="20"/>
        <v>0</v>
      </c>
      <c r="H62" s="455">
        <f t="shared" si="21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2"/>
    </row>
    <row r="63" spans="2:16" ht="12.5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2"/>
        <v>0</v>
      </c>
      <c r="G63" s="488">
        <f t="shared" si="20"/>
        <v>0</v>
      </c>
      <c r="H63" s="455">
        <f t="shared" si="21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2"/>
    </row>
    <row r="64" spans="2:16" ht="12.5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2"/>
        <v>0</v>
      </c>
      <c r="G64" s="488">
        <f t="shared" si="20"/>
        <v>0</v>
      </c>
      <c r="H64" s="455">
        <f t="shared" si="21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2"/>
    </row>
    <row r="65" spans="2:16" ht="12.5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2"/>
        <v>0</v>
      </c>
      <c r="G65" s="488">
        <f t="shared" si="20"/>
        <v>0</v>
      </c>
      <c r="H65" s="455">
        <f t="shared" si="21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2"/>
    </row>
    <row r="66" spans="2:16" ht="12.5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2"/>
        <v>0</v>
      </c>
      <c r="G66" s="488">
        <f t="shared" si="20"/>
        <v>0</v>
      </c>
      <c r="H66" s="455">
        <f t="shared" si="21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2"/>
    </row>
    <row r="67" spans="2:16" ht="12.5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2"/>
        <v>0</v>
      </c>
      <c r="G67" s="488">
        <f t="shared" si="20"/>
        <v>0</v>
      </c>
      <c r="H67" s="455">
        <f t="shared" si="21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2"/>
    </row>
    <row r="68" spans="2:16" ht="12.5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2"/>
        <v>0</v>
      </c>
      <c r="G68" s="488">
        <f t="shared" si="20"/>
        <v>0</v>
      </c>
      <c r="H68" s="455">
        <f t="shared" si="21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2"/>
    </row>
    <row r="69" spans="2:16" ht="12.5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2"/>
        <v>0</v>
      </c>
      <c r="G69" s="488">
        <f t="shared" si="20"/>
        <v>0</v>
      </c>
      <c r="H69" s="455">
        <f t="shared" si="21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2"/>
    </row>
    <row r="70" spans="2:16" ht="12.5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2"/>
        <v>0</v>
      </c>
      <c r="G70" s="488">
        <f t="shared" si="20"/>
        <v>0</v>
      </c>
      <c r="H70" s="455">
        <f t="shared" si="21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2"/>
    </row>
    <row r="71" spans="2:16" ht="12.5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2"/>
        <v>0</v>
      </c>
      <c r="G71" s="488">
        <f t="shared" si="20"/>
        <v>0</v>
      </c>
      <c r="H71" s="455">
        <f t="shared" si="21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2"/>
        <v>0</v>
      </c>
      <c r="G72" s="492">
        <f t="shared" si="20"/>
        <v>0</v>
      </c>
      <c r="H72" s="435">
        <f t="shared" si="21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2"/>
    </row>
    <row r="73" spans="2:16" ht="12.5">
      <c r="C73" s="346" t="s">
        <v>77</v>
      </c>
      <c r="D73" s="347"/>
      <c r="E73" s="347">
        <f>SUM(E17:E72)</f>
        <v>72551.000000000029</v>
      </c>
      <c r="F73" s="347"/>
      <c r="G73" s="347">
        <f>SUM(G17:G72)</f>
        <v>277956.38222562044</v>
      </c>
      <c r="H73" s="347">
        <f>SUM(H17:H72)</f>
        <v>277956.38222562044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9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7184.4287124898146</v>
      </c>
      <c r="N87" s="508">
        <f>IF(J92&lt;D11,0,VLOOKUP(J92,C17:O72,11))</f>
        <v>7184.4287124898146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7721.9320395107143</v>
      </c>
      <c r="N88" s="512">
        <f>IF(J92&lt;D11,0,VLOOKUP(J92,C99:P154,7))</f>
        <v>7721.9320395107143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Upgrade (repl switches)*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537.50332702089963</v>
      </c>
      <c r="N89" s="517">
        <f>+N88-N87</f>
        <v>537.50332702089963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TP2004033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72551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1770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2007</v>
      </c>
      <c r="D99" s="473">
        <v>0</v>
      </c>
      <c r="E99" s="480">
        <v>0</v>
      </c>
      <c r="F99" s="479">
        <v>72551</v>
      </c>
      <c r="G99" s="537">
        <v>36276</v>
      </c>
      <c r="H99" s="538">
        <v>5762</v>
      </c>
      <c r="I99" s="539">
        <v>5762</v>
      </c>
      <c r="J99" s="478">
        <f t="shared" ref="J99:J130" si="27">+I99-H99</f>
        <v>0</v>
      </c>
      <c r="K99" s="478"/>
      <c r="L99" s="554">
        <v>0</v>
      </c>
      <c r="M99" s="477">
        <f t="shared" ref="M99:M130" si="28">IF(L99&lt;&gt;0,+H99-L99,0)</f>
        <v>0</v>
      </c>
      <c r="N99" s="554">
        <v>0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 ht="12.5">
      <c r="B100" s="160" t="str">
        <f>IF(D100=F99,"","IU")</f>
        <v/>
      </c>
      <c r="C100" s="472">
        <f>IF(D93="","-",+C99+1)</f>
        <v>2008</v>
      </c>
      <c r="D100" s="473">
        <v>72551</v>
      </c>
      <c r="E100" s="561">
        <v>1369</v>
      </c>
      <c r="F100" s="479">
        <v>71182</v>
      </c>
      <c r="G100" s="479">
        <v>71867</v>
      </c>
      <c r="H100" s="480">
        <v>12785</v>
      </c>
      <c r="I100" s="481">
        <v>12785</v>
      </c>
      <c r="J100" s="478">
        <f t="shared" si="27"/>
        <v>0</v>
      </c>
      <c r="K100" s="478"/>
      <c r="L100" s="476">
        <v>12785</v>
      </c>
      <c r="M100" s="478">
        <f t="shared" si="28"/>
        <v>0</v>
      </c>
      <c r="N100" s="476">
        <v>12785</v>
      </c>
      <c r="O100" s="478">
        <f t="shared" si="29"/>
        <v>0</v>
      </c>
      <c r="P100" s="478">
        <f t="shared" si="30"/>
        <v>0</v>
      </c>
    </row>
    <row r="101" spans="1:16" ht="12.5">
      <c r="B101" s="160" t="str">
        <f t="shared" ref="B101:B154" si="31">IF(D101=F100,"","IU")</f>
        <v/>
      </c>
      <c r="C101" s="472">
        <f>IF(D93="","-",+C100+1)</f>
        <v>2009</v>
      </c>
      <c r="D101" s="473">
        <v>71182</v>
      </c>
      <c r="E101" s="480">
        <v>1296</v>
      </c>
      <c r="F101" s="479">
        <v>69886</v>
      </c>
      <c r="G101" s="479">
        <v>70534</v>
      </c>
      <c r="H101" s="480">
        <v>11608.65494705257</v>
      </c>
      <c r="I101" s="481">
        <v>11608.65494705257</v>
      </c>
      <c r="J101" s="478">
        <f t="shared" si="27"/>
        <v>0</v>
      </c>
      <c r="K101" s="478"/>
      <c r="L101" s="540">
        <f t="shared" ref="L101:L106" si="32">H101</f>
        <v>11608.65494705257</v>
      </c>
      <c r="M101" s="541">
        <f t="shared" si="28"/>
        <v>0</v>
      </c>
      <c r="N101" s="540">
        <f t="shared" ref="N101:N106" si="33">I101</f>
        <v>11608.65494705257</v>
      </c>
      <c r="O101" s="478">
        <f t="shared" si="29"/>
        <v>0</v>
      </c>
      <c r="P101" s="478">
        <f t="shared" si="30"/>
        <v>0</v>
      </c>
    </row>
    <row r="102" spans="1:16" ht="12.5">
      <c r="B102" s="160" t="str">
        <f t="shared" si="31"/>
        <v/>
      </c>
      <c r="C102" s="472">
        <f>IF(D93="","-",+C101+1)</f>
        <v>2010</v>
      </c>
      <c r="D102" s="473">
        <v>69886</v>
      </c>
      <c r="E102" s="480">
        <v>1423</v>
      </c>
      <c r="F102" s="479">
        <v>68463</v>
      </c>
      <c r="G102" s="479">
        <v>69174.5</v>
      </c>
      <c r="H102" s="480">
        <v>12547.312556925655</v>
      </c>
      <c r="I102" s="481">
        <v>12547.312556925655</v>
      </c>
      <c r="J102" s="478">
        <f t="shared" si="27"/>
        <v>0</v>
      </c>
      <c r="K102" s="478"/>
      <c r="L102" s="540">
        <f t="shared" si="32"/>
        <v>12547.312556925655</v>
      </c>
      <c r="M102" s="541">
        <f t="shared" si="28"/>
        <v>0</v>
      </c>
      <c r="N102" s="540">
        <f t="shared" si="33"/>
        <v>12547.312556925655</v>
      </c>
      <c r="O102" s="478">
        <f t="shared" si="29"/>
        <v>0</v>
      </c>
      <c r="P102" s="478">
        <f t="shared" si="30"/>
        <v>0</v>
      </c>
    </row>
    <row r="103" spans="1:16" ht="12.5">
      <c r="B103" s="160" t="str">
        <f t="shared" si="31"/>
        <v/>
      </c>
      <c r="C103" s="472">
        <f>IF(D93="","-",+C102+1)</f>
        <v>2011</v>
      </c>
      <c r="D103" s="473">
        <v>68463</v>
      </c>
      <c r="E103" s="480">
        <v>1395</v>
      </c>
      <c r="F103" s="479">
        <v>67068</v>
      </c>
      <c r="G103" s="479">
        <v>67765.5</v>
      </c>
      <c r="H103" s="480">
        <v>10869.52752826227</v>
      </c>
      <c r="I103" s="481">
        <v>10869.52752826227</v>
      </c>
      <c r="J103" s="478">
        <f t="shared" si="27"/>
        <v>0</v>
      </c>
      <c r="K103" s="478"/>
      <c r="L103" s="540">
        <f t="shared" si="32"/>
        <v>10869.52752826227</v>
      </c>
      <c r="M103" s="541">
        <f t="shared" si="28"/>
        <v>0</v>
      </c>
      <c r="N103" s="540">
        <f t="shared" si="33"/>
        <v>10869.52752826227</v>
      </c>
      <c r="O103" s="478">
        <f t="shared" si="29"/>
        <v>0</v>
      </c>
      <c r="P103" s="478">
        <f t="shared" si="30"/>
        <v>0</v>
      </c>
    </row>
    <row r="104" spans="1:16" ht="12.5">
      <c r="B104" s="160" t="str">
        <f t="shared" si="31"/>
        <v/>
      </c>
      <c r="C104" s="472">
        <f>IF(D93="","-",+C103+1)</f>
        <v>2012</v>
      </c>
      <c r="D104" s="473">
        <v>67068</v>
      </c>
      <c r="E104" s="480">
        <v>1395</v>
      </c>
      <c r="F104" s="479">
        <v>65673</v>
      </c>
      <c r="G104" s="479">
        <v>66370.5</v>
      </c>
      <c r="H104" s="480">
        <v>10942.760254640152</v>
      </c>
      <c r="I104" s="481">
        <v>10942.760254640152</v>
      </c>
      <c r="J104" s="478">
        <v>0</v>
      </c>
      <c r="K104" s="478"/>
      <c r="L104" s="540">
        <f t="shared" si="32"/>
        <v>10942.760254640152</v>
      </c>
      <c r="M104" s="541">
        <f t="shared" ref="M104:M109" si="34">IF(L104&lt;&gt;0,+H104-L104,0)</f>
        <v>0</v>
      </c>
      <c r="N104" s="540">
        <f t="shared" si="33"/>
        <v>10942.760254640152</v>
      </c>
      <c r="O104" s="478">
        <f t="shared" ref="O104:O109" si="35">IF(N104&lt;&gt;0,+I104-N104,0)</f>
        <v>0</v>
      </c>
      <c r="P104" s="478">
        <f t="shared" ref="P104:P109" si="36">+O104-M104</f>
        <v>0</v>
      </c>
    </row>
    <row r="105" spans="1:16" ht="12.5">
      <c r="B105" s="160" t="str">
        <f t="shared" si="31"/>
        <v/>
      </c>
      <c r="C105" s="472">
        <f>IF(D93="","-",+C104+1)</f>
        <v>2013</v>
      </c>
      <c r="D105" s="473">
        <v>65673</v>
      </c>
      <c r="E105" s="480">
        <v>1395</v>
      </c>
      <c r="F105" s="479">
        <v>64278</v>
      </c>
      <c r="G105" s="479">
        <v>64975.5</v>
      </c>
      <c r="H105" s="480">
        <v>10747.547086020993</v>
      </c>
      <c r="I105" s="481">
        <v>10747.547086020993</v>
      </c>
      <c r="J105" s="478">
        <v>0</v>
      </c>
      <c r="K105" s="478"/>
      <c r="L105" s="540">
        <f t="shared" si="32"/>
        <v>10747.547086020993</v>
      </c>
      <c r="M105" s="541">
        <f t="shared" si="34"/>
        <v>0</v>
      </c>
      <c r="N105" s="540">
        <f t="shared" si="33"/>
        <v>10747.547086020993</v>
      </c>
      <c r="O105" s="478">
        <f t="shared" si="35"/>
        <v>0</v>
      </c>
      <c r="P105" s="478">
        <f t="shared" si="36"/>
        <v>0</v>
      </c>
    </row>
    <row r="106" spans="1:16" ht="12.5">
      <c r="B106" s="160" t="str">
        <f t="shared" si="31"/>
        <v/>
      </c>
      <c r="C106" s="472">
        <f>IF(D93="","-",+C105+1)</f>
        <v>2014</v>
      </c>
      <c r="D106" s="473">
        <v>64278</v>
      </c>
      <c r="E106" s="480">
        <v>1395</v>
      </c>
      <c r="F106" s="479">
        <v>62883</v>
      </c>
      <c r="G106" s="479">
        <v>63580.5</v>
      </c>
      <c r="H106" s="480">
        <v>10334.158398344916</v>
      </c>
      <c r="I106" s="481">
        <v>10334.158398344916</v>
      </c>
      <c r="J106" s="478">
        <v>0</v>
      </c>
      <c r="K106" s="478"/>
      <c r="L106" s="540">
        <f t="shared" si="32"/>
        <v>10334.158398344916</v>
      </c>
      <c r="M106" s="541">
        <f t="shared" si="34"/>
        <v>0</v>
      </c>
      <c r="N106" s="540">
        <f t="shared" si="33"/>
        <v>10334.158398344916</v>
      </c>
      <c r="O106" s="478">
        <f t="shared" si="35"/>
        <v>0</v>
      </c>
      <c r="P106" s="478">
        <f t="shared" si="36"/>
        <v>0</v>
      </c>
    </row>
    <row r="107" spans="1:16" ht="12.5">
      <c r="B107" s="160" t="str">
        <f t="shared" si="31"/>
        <v/>
      </c>
      <c r="C107" s="472">
        <f>IF(D93="","-",+C106+1)</f>
        <v>2015</v>
      </c>
      <c r="D107" s="473">
        <v>62883</v>
      </c>
      <c r="E107" s="480">
        <v>1395</v>
      </c>
      <c r="F107" s="479">
        <v>61488</v>
      </c>
      <c r="G107" s="479">
        <v>62185.5</v>
      </c>
      <c r="H107" s="480">
        <v>9879.7114789405332</v>
      </c>
      <c r="I107" s="481">
        <v>9879.7114789405332</v>
      </c>
      <c r="J107" s="478">
        <f t="shared" si="27"/>
        <v>0</v>
      </c>
      <c r="K107" s="478"/>
      <c r="L107" s="540">
        <f t="shared" ref="L107:L112" si="37">H107</f>
        <v>9879.7114789405332</v>
      </c>
      <c r="M107" s="541">
        <f t="shared" si="34"/>
        <v>0</v>
      </c>
      <c r="N107" s="540">
        <f t="shared" ref="N107:N112" si="38">I107</f>
        <v>9879.7114789405332</v>
      </c>
      <c r="O107" s="478">
        <f t="shared" si="35"/>
        <v>0</v>
      </c>
      <c r="P107" s="478">
        <f t="shared" si="36"/>
        <v>0</v>
      </c>
    </row>
    <row r="108" spans="1:16" ht="12.5">
      <c r="B108" s="160" t="str">
        <f t="shared" si="31"/>
        <v/>
      </c>
      <c r="C108" s="472">
        <f>IF(D93="","-",+C107+1)</f>
        <v>2016</v>
      </c>
      <c r="D108" s="473">
        <v>61488</v>
      </c>
      <c r="E108" s="480">
        <v>1577</v>
      </c>
      <c r="F108" s="479">
        <v>59911</v>
      </c>
      <c r="G108" s="479">
        <v>60699.5</v>
      </c>
      <c r="H108" s="480">
        <v>9402.1214987986186</v>
      </c>
      <c r="I108" s="481">
        <v>9402.1214987986186</v>
      </c>
      <c r="J108" s="478">
        <f t="shared" si="27"/>
        <v>0</v>
      </c>
      <c r="K108" s="478"/>
      <c r="L108" s="540">
        <f t="shared" si="37"/>
        <v>9402.1214987986186</v>
      </c>
      <c r="M108" s="541">
        <f t="shared" si="34"/>
        <v>0</v>
      </c>
      <c r="N108" s="540">
        <f t="shared" si="38"/>
        <v>9402.1214987986186</v>
      </c>
      <c r="O108" s="478">
        <f t="shared" si="35"/>
        <v>0</v>
      </c>
      <c r="P108" s="478">
        <f t="shared" si="36"/>
        <v>0</v>
      </c>
    </row>
    <row r="109" spans="1:16" ht="12.5">
      <c r="B109" s="160" t="str">
        <f t="shared" si="31"/>
        <v/>
      </c>
      <c r="C109" s="472">
        <f>IF(D93="","-",+C108+1)</f>
        <v>2017</v>
      </c>
      <c r="D109" s="473">
        <v>59911</v>
      </c>
      <c r="E109" s="480">
        <v>1577</v>
      </c>
      <c r="F109" s="479">
        <v>58334</v>
      </c>
      <c r="G109" s="479">
        <v>59122.5</v>
      </c>
      <c r="H109" s="480">
        <v>9076.8382024367129</v>
      </c>
      <c r="I109" s="481">
        <v>9076.8382024367129</v>
      </c>
      <c r="J109" s="478">
        <f t="shared" si="27"/>
        <v>0</v>
      </c>
      <c r="K109" s="478"/>
      <c r="L109" s="540">
        <f t="shared" si="37"/>
        <v>9076.8382024367129</v>
      </c>
      <c r="M109" s="541">
        <f t="shared" si="34"/>
        <v>0</v>
      </c>
      <c r="N109" s="540">
        <f t="shared" si="38"/>
        <v>9076.8382024367129</v>
      </c>
      <c r="O109" s="478">
        <f t="shared" si="35"/>
        <v>0</v>
      </c>
      <c r="P109" s="478">
        <f t="shared" si="36"/>
        <v>0</v>
      </c>
    </row>
    <row r="110" spans="1:16" ht="12.5">
      <c r="B110" s="160" t="str">
        <f t="shared" si="31"/>
        <v/>
      </c>
      <c r="C110" s="472">
        <f>IF(D93="","-",+C109+1)</f>
        <v>2018</v>
      </c>
      <c r="D110" s="473">
        <v>58334</v>
      </c>
      <c r="E110" s="480">
        <v>1687</v>
      </c>
      <c r="F110" s="479">
        <v>56647</v>
      </c>
      <c r="G110" s="479">
        <v>57490.5</v>
      </c>
      <c r="H110" s="480">
        <v>7593.3191046629281</v>
      </c>
      <c r="I110" s="481">
        <v>7593.3191046629281</v>
      </c>
      <c r="J110" s="478">
        <f t="shared" si="27"/>
        <v>0</v>
      </c>
      <c r="K110" s="478"/>
      <c r="L110" s="540">
        <f t="shared" si="37"/>
        <v>7593.3191046629281</v>
      </c>
      <c r="M110" s="541">
        <f t="shared" ref="M110" si="39">IF(L110&lt;&gt;0,+H110-L110,0)</f>
        <v>0</v>
      </c>
      <c r="N110" s="540">
        <f t="shared" si="38"/>
        <v>7593.3191046629281</v>
      </c>
      <c r="O110" s="478">
        <f t="shared" ref="O110" si="40">IF(N110&lt;&gt;0,+I110-N110,0)</f>
        <v>0</v>
      </c>
      <c r="P110" s="478">
        <f t="shared" ref="P110" si="41">+O110-M110</f>
        <v>0</v>
      </c>
    </row>
    <row r="111" spans="1:16" ht="12.5">
      <c r="B111" s="160" t="str">
        <f t="shared" si="31"/>
        <v/>
      </c>
      <c r="C111" s="472">
        <f>IF(D93="","-",+C110+1)</f>
        <v>2019</v>
      </c>
      <c r="D111" s="473">
        <v>56647</v>
      </c>
      <c r="E111" s="480">
        <v>1770</v>
      </c>
      <c r="F111" s="479">
        <v>54877</v>
      </c>
      <c r="G111" s="479">
        <v>55762</v>
      </c>
      <c r="H111" s="480">
        <v>7519.8443223081076</v>
      </c>
      <c r="I111" s="481">
        <v>7519.8443223081076</v>
      </c>
      <c r="J111" s="478">
        <f t="shared" si="27"/>
        <v>0</v>
      </c>
      <c r="K111" s="478"/>
      <c r="L111" s="540">
        <f t="shared" si="37"/>
        <v>7519.8443223081076</v>
      </c>
      <c r="M111" s="541">
        <f t="shared" ref="M111:M112" si="42">IF(L111&lt;&gt;0,+H111-L111,0)</f>
        <v>0</v>
      </c>
      <c r="N111" s="540">
        <f t="shared" si="38"/>
        <v>7519.8443223081076</v>
      </c>
      <c r="O111" s="478">
        <f t="shared" si="29"/>
        <v>0</v>
      </c>
      <c r="P111" s="478">
        <f t="shared" si="30"/>
        <v>0</v>
      </c>
    </row>
    <row r="112" spans="1:16" ht="12.5">
      <c r="B112" s="160" t="str">
        <f t="shared" si="31"/>
        <v/>
      </c>
      <c r="C112" s="472">
        <f>IF(D93="","-",+C111+1)</f>
        <v>2020</v>
      </c>
      <c r="D112" s="473">
        <v>54877</v>
      </c>
      <c r="E112" s="480">
        <v>1687</v>
      </c>
      <c r="F112" s="479">
        <v>53190</v>
      </c>
      <c r="G112" s="479">
        <v>54033.5</v>
      </c>
      <c r="H112" s="480">
        <v>7916.9139971406776</v>
      </c>
      <c r="I112" s="481">
        <v>7916.9139971406776</v>
      </c>
      <c r="J112" s="478">
        <f t="shared" si="27"/>
        <v>0</v>
      </c>
      <c r="K112" s="478"/>
      <c r="L112" s="540">
        <f t="shared" si="37"/>
        <v>7916.9139971406776</v>
      </c>
      <c r="M112" s="541">
        <f t="shared" si="42"/>
        <v>0</v>
      </c>
      <c r="N112" s="540">
        <f t="shared" si="38"/>
        <v>7916.9139971406776</v>
      </c>
      <c r="O112" s="478">
        <f t="shared" si="29"/>
        <v>0</v>
      </c>
      <c r="P112" s="478">
        <f t="shared" si="30"/>
        <v>0</v>
      </c>
    </row>
    <row r="113" spans="2:16" ht="12.5">
      <c r="B113" s="160" t="str">
        <f t="shared" si="31"/>
        <v/>
      </c>
      <c r="C113" s="472">
        <f>IF(D93="","-",+C112+1)</f>
        <v>2021</v>
      </c>
      <c r="D113" s="346">
        <f>IF(F112+SUM(E$99:E112)=D$92,F112,D$92-SUM(E$99:E112))</f>
        <v>53190</v>
      </c>
      <c r="E113" s="486">
        <f>IF(+J96&lt;F112,J96,D113)</f>
        <v>1770</v>
      </c>
      <c r="F113" s="485">
        <f t="shared" ref="F113:F154" si="43">+D113-E113</f>
        <v>51420</v>
      </c>
      <c r="G113" s="485">
        <f t="shared" ref="G113:G154" si="44">+(F113+D113)/2</f>
        <v>52305</v>
      </c>
      <c r="H113" s="488">
        <f t="shared" ref="H113:H154" si="45">+J$94*G113+E113</f>
        <v>7721.9320395107143</v>
      </c>
      <c r="I113" s="542">
        <f t="shared" ref="I113:I154" si="46">+J$95*G113+E113</f>
        <v>7721.9320395107143</v>
      </c>
      <c r="J113" s="478">
        <f t="shared" si="27"/>
        <v>0</v>
      </c>
      <c r="K113" s="478"/>
      <c r="L113" s="487"/>
      <c r="M113" s="478">
        <f t="shared" si="28"/>
        <v>0</v>
      </c>
      <c r="N113" s="487"/>
      <c r="O113" s="478">
        <f t="shared" si="29"/>
        <v>0</v>
      </c>
      <c r="P113" s="478">
        <f t="shared" si="30"/>
        <v>0</v>
      </c>
    </row>
    <row r="114" spans="2:16" ht="12.5">
      <c r="B114" s="160" t="str">
        <f t="shared" si="31"/>
        <v/>
      </c>
      <c r="C114" s="472">
        <f>IF(D93="","-",+C113+1)</f>
        <v>2022</v>
      </c>
      <c r="D114" s="346">
        <f>IF(F113+SUM(E$99:E113)=D$92,F113,D$92-SUM(E$99:E113))</f>
        <v>51420</v>
      </c>
      <c r="E114" s="486">
        <f>IF(+J96&lt;F113,J96,D114)</f>
        <v>1770</v>
      </c>
      <c r="F114" s="485">
        <f t="shared" si="43"/>
        <v>49650</v>
      </c>
      <c r="G114" s="485">
        <f t="shared" si="44"/>
        <v>50535</v>
      </c>
      <c r="H114" s="488">
        <f t="shared" si="45"/>
        <v>7520.5187958450233</v>
      </c>
      <c r="I114" s="542">
        <f t="shared" si="46"/>
        <v>7520.5187958450233</v>
      </c>
      <c r="J114" s="478">
        <f t="shared" si="27"/>
        <v>0</v>
      </c>
      <c r="K114" s="478"/>
      <c r="L114" s="487"/>
      <c r="M114" s="478">
        <f t="shared" si="28"/>
        <v>0</v>
      </c>
      <c r="N114" s="487"/>
      <c r="O114" s="478">
        <f t="shared" si="29"/>
        <v>0</v>
      </c>
      <c r="P114" s="478">
        <f t="shared" si="30"/>
        <v>0</v>
      </c>
    </row>
    <row r="115" spans="2:16" ht="12.5">
      <c r="B115" s="160" t="str">
        <f t="shared" si="31"/>
        <v/>
      </c>
      <c r="C115" s="472">
        <f>IF(D93="","-",+C114+1)</f>
        <v>2023</v>
      </c>
      <c r="D115" s="346">
        <f>IF(F114+SUM(E$99:E114)=D$92,F114,D$92-SUM(E$99:E114))</f>
        <v>49650</v>
      </c>
      <c r="E115" s="486">
        <f>IF(+J96&lt;F114,J96,D115)</f>
        <v>1770</v>
      </c>
      <c r="F115" s="485">
        <f t="shared" si="43"/>
        <v>47880</v>
      </c>
      <c r="G115" s="485">
        <f t="shared" si="44"/>
        <v>48765</v>
      </c>
      <c r="H115" s="488">
        <f t="shared" si="45"/>
        <v>7319.1055521793323</v>
      </c>
      <c r="I115" s="542">
        <f t="shared" si="46"/>
        <v>7319.1055521793323</v>
      </c>
      <c r="J115" s="478">
        <f t="shared" si="27"/>
        <v>0</v>
      </c>
      <c r="K115" s="478"/>
      <c r="L115" s="487"/>
      <c r="M115" s="478">
        <f t="shared" si="28"/>
        <v>0</v>
      </c>
      <c r="N115" s="487"/>
      <c r="O115" s="478">
        <f t="shared" si="29"/>
        <v>0</v>
      </c>
      <c r="P115" s="478">
        <f t="shared" si="30"/>
        <v>0</v>
      </c>
    </row>
    <row r="116" spans="2:16" ht="12.5">
      <c r="B116" s="160" t="str">
        <f t="shared" si="31"/>
        <v/>
      </c>
      <c r="C116" s="472">
        <f>IF(D93="","-",+C115+1)</f>
        <v>2024</v>
      </c>
      <c r="D116" s="346">
        <f>IF(F115+SUM(E$99:E115)=D$92,F115,D$92-SUM(E$99:E115))</f>
        <v>47880</v>
      </c>
      <c r="E116" s="486">
        <f>IF(+J96&lt;F115,J96,D116)</f>
        <v>1770</v>
      </c>
      <c r="F116" s="485">
        <f t="shared" si="43"/>
        <v>46110</v>
      </c>
      <c r="G116" s="485">
        <f t="shared" si="44"/>
        <v>46995</v>
      </c>
      <c r="H116" s="488">
        <f t="shared" si="45"/>
        <v>7117.6923085136414</v>
      </c>
      <c r="I116" s="542">
        <f t="shared" si="46"/>
        <v>7117.6923085136414</v>
      </c>
      <c r="J116" s="478">
        <f t="shared" si="27"/>
        <v>0</v>
      </c>
      <c r="K116" s="478"/>
      <c r="L116" s="487"/>
      <c r="M116" s="478">
        <f t="shared" si="28"/>
        <v>0</v>
      </c>
      <c r="N116" s="487"/>
      <c r="O116" s="478">
        <f t="shared" si="29"/>
        <v>0</v>
      </c>
      <c r="P116" s="478">
        <f t="shared" si="30"/>
        <v>0</v>
      </c>
    </row>
    <row r="117" spans="2:16" ht="12.5">
      <c r="B117" s="160" t="str">
        <f t="shared" si="31"/>
        <v/>
      </c>
      <c r="C117" s="472">
        <f>IF(D93="","-",+C116+1)</f>
        <v>2025</v>
      </c>
      <c r="D117" s="346">
        <f>IF(F116+SUM(E$99:E116)=D$92,F116,D$92-SUM(E$99:E116))</f>
        <v>46110</v>
      </c>
      <c r="E117" s="486">
        <f>IF(+J96&lt;F116,J96,D117)</f>
        <v>1770</v>
      </c>
      <c r="F117" s="485">
        <f t="shared" si="43"/>
        <v>44340</v>
      </c>
      <c r="G117" s="485">
        <f t="shared" si="44"/>
        <v>45225</v>
      </c>
      <c r="H117" s="488">
        <f t="shared" si="45"/>
        <v>6916.2790648479504</v>
      </c>
      <c r="I117" s="542">
        <f t="shared" si="46"/>
        <v>6916.2790648479504</v>
      </c>
      <c r="J117" s="478">
        <f t="shared" si="27"/>
        <v>0</v>
      </c>
      <c r="K117" s="478"/>
      <c r="L117" s="487"/>
      <c r="M117" s="478">
        <f t="shared" si="28"/>
        <v>0</v>
      </c>
      <c r="N117" s="487"/>
      <c r="O117" s="478">
        <f t="shared" si="29"/>
        <v>0</v>
      </c>
      <c r="P117" s="478">
        <f t="shared" si="30"/>
        <v>0</v>
      </c>
    </row>
    <row r="118" spans="2:16" ht="12.5">
      <c r="B118" s="160" t="str">
        <f t="shared" si="31"/>
        <v/>
      </c>
      <c r="C118" s="472">
        <f>IF(D93="","-",+C117+1)</f>
        <v>2026</v>
      </c>
      <c r="D118" s="346">
        <f>IF(F117+SUM(E$99:E117)=D$92,F117,D$92-SUM(E$99:E117))</f>
        <v>44340</v>
      </c>
      <c r="E118" s="486">
        <f>IF(+J96&lt;F117,J96,D118)</f>
        <v>1770</v>
      </c>
      <c r="F118" s="485">
        <f t="shared" si="43"/>
        <v>42570</v>
      </c>
      <c r="G118" s="485">
        <f t="shared" si="44"/>
        <v>43455</v>
      </c>
      <c r="H118" s="488">
        <f t="shared" si="45"/>
        <v>6714.8658211822594</v>
      </c>
      <c r="I118" s="542">
        <f t="shared" si="46"/>
        <v>6714.8658211822594</v>
      </c>
      <c r="J118" s="478">
        <f t="shared" si="27"/>
        <v>0</v>
      </c>
      <c r="K118" s="478"/>
      <c r="L118" s="487"/>
      <c r="M118" s="478">
        <f t="shared" si="28"/>
        <v>0</v>
      </c>
      <c r="N118" s="487"/>
      <c r="O118" s="478">
        <f t="shared" si="29"/>
        <v>0</v>
      </c>
      <c r="P118" s="478">
        <f t="shared" si="30"/>
        <v>0</v>
      </c>
    </row>
    <row r="119" spans="2:16" ht="12.5">
      <c r="B119" s="160" t="str">
        <f t="shared" si="31"/>
        <v/>
      </c>
      <c r="C119" s="472">
        <f>IF(D93="","-",+C118+1)</f>
        <v>2027</v>
      </c>
      <c r="D119" s="346">
        <f>IF(F118+SUM(E$99:E118)=D$92,F118,D$92-SUM(E$99:E118))</f>
        <v>42570</v>
      </c>
      <c r="E119" s="486">
        <f>IF(+J96&lt;F118,J96,D119)</f>
        <v>1770</v>
      </c>
      <c r="F119" s="485">
        <f t="shared" si="43"/>
        <v>40800</v>
      </c>
      <c r="G119" s="485">
        <f t="shared" si="44"/>
        <v>41685</v>
      </c>
      <c r="H119" s="488">
        <f t="shared" si="45"/>
        <v>6513.4525775165685</v>
      </c>
      <c r="I119" s="542">
        <f t="shared" si="46"/>
        <v>6513.4525775165685</v>
      </c>
      <c r="J119" s="478">
        <f t="shared" si="27"/>
        <v>0</v>
      </c>
      <c r="K119" s="478"/>
      <c r="L119" s="487"/>
      <c r="M119" s="478">
        <f t="shared" si="28"/>
        <v>0</v>
      </c>
      <c r="N119" s="487"/>
      <c r="O119" s="478">
        <f t="shared" si="29"/>
        <v>0</v>
      </c>
      <c r="P119" s="478">
        <f t="shared" si="30"/>
        <v>0</v>
      </c>
    </row>
    <row r="120" spans="2:16" ht="12.5">
      <c r="B120" s="160" t="str">
        <f t="shared" si="31"/>
        <v/>
      </c>
      <c r="C120" s="472">
        <f>IF(D93="","-",+C119+1)</f>
        <v>2028</v>
      </c>
      <c r="D120" s="346">
        <f>IF(F119+SUM(E$99:E119)=D$92,F119,D$92-SUM(E$99:E119))</f>
        <v>40800</v>
      </c>
      <c r="E120" s="486">
        <f>IF(+J96&lt;F119,J96,D120)</f>
        <v>1770</v>
      </c>
      <c r="F120" s="485">
        <f t="shared" si="43"/>
        <v>39030</v>
      </c>
      <c r="G120" s="485">
        <f t="shared" si="44"/>
        <v>39915</v>
      </c>
      <c r="H120" s="488">
        <f t="shared" si="45"/>
        <v>6312.0393338508775</v>
      </c>
      <c r="I120" s="542">
        <f t="shared" si="46"/>
        <v>6312.0393338508775</v>
      </c>
      <c r="J120" s="478">
        <f t="shared" si="27"/>
        <v>0</v>
      </c>
      <c r="K120" s="478"/>
      <c r="L120" s="487"/>
      <c r="M120" s="478">
        <f t="shared" si="28"/>
        <v>0</v>
      </c>
      <c r="N120" s="487"/>
      <c r="O120" s="478">
        <f t="shared" si="29"/>
        <v>0</v>
      </c>
      <c r="P120" s="478">
        <f t="shared" si="30"/>
        <v>0</v>
      </c>
    </row>
    <row r="121" spans="2:16" ht="12.5">
      <c r="B121" s="160" t="str">
        <f t="shared" si="31"/>
        <v/>
      </c>
      <c r="C121" s="472">
        <f>IF(D93="","-",+C120+1)</f>
        <v>2029</v>
      </c>
      <c r="D121" s="346">
        <f>IF(F120+SUM(E$99:E120)=D$92,F120,D$92-SUM(E$99:E120))</f>
        <v>39030</v>
      </c>
      <c r="E121" s="486">
        <f>IF(+J96&lt;F120,J96,D121)</f>
        <v>1770</v>
      </c>
      <c r="F121" s="485">
        <f t="shared" si="43"/>
        <v>37260</v>
      </c>
      <c r="G121" s="485">
        <f t="shared" si="44"/>
        <v>38145</v>
      </c>
      <c r="H121" s="488">
        <f t="shared" si="45"/>
        <v>6110.6260901851865</v>
      </c>
      <c r="I121" s="542">
        <f t="shared" si="46"/>
        <v>6110.6260901851865</v>
      </c>
      <c r="J121" s="478">
        <f t="shared" si="27"/>
        <v>0</v>
      </c>
      <c r="K121" s="478"/>
      <c r="L121" s="487"/>
      <c r="M121" s="478">
        <f t="shared" si="28"/>
        <v>0</v>
      </c>
      <c r="N121" s="487"/>
      <c r="O121" s="478">
        <f t="shared" si="29"/>
        <v>0</v>
      </c>
      <c r="P121" s="478">
        <f t="shared" si="30"/>
        <v>0</v>
      </c>
    </row>
    <row r="122" spans="2:16" ht="12.5">
      <c r="B122" s="160" t="str">
        <f t="shared" si="31"/>
        <v/>
      </c>
      <c r="C122" s="472">
        <f>IF(D93="","-",+C121+1)</f>
        <v>2030</v>
      </c>
      <c r="D122" s="346">
        <f>IF(F121+SUM(E$99:E121)=D$92,F121,D$92-SUM(E$99:E121))</f>
        <v>37260</v>
      </c>
      <c r="E122" s="486">
        <f>IF(+J96&lt;F121,J96,D122)</f>
        <v>1770</v>
      </c>
      <c r="F122" s="485">
        <f t="shared" si="43"/>
        <v>35490</v>
      </c>
      <c r="G122" s="485">
        <f t="shared" si="44"/>
        <v>36375</v>
      </c>
      <c r="H122" s="488">
        <f t="shared" si="45"/>
        <v>5909.2128465194955</v>
      </c>
      <c r="I122" s="542">
        <f t="shared" si="46"/>
        <v>5909.2128465194955</v>
      </c>
      <c r="J122" s="478">
        <f t="shared" si="27"/>
        <v>0</v>
      </c>
      <c r="K122" s="478"/>
      <c r="L122" s="487"/>
      <c r="M122" s="478">
        <f t="shared" si="28"/>
        <v>0</v>
      </c>
      <c r="N122" s="487"/>
      <c r="O122" s="478">
        <f t="shared" si="29"/>
        <v>0</v>
      </c>
      <c r="P122" s="478">
        <f t="shared" si="30"/>
        <v>0</v>
      </c>
    </row>
    <row r="123" spans="2:16" ht="12.5">
      <c r="B123" s="160" t="str">
        <f t="shared" si="31"/>
        <v/>
      </c>
      <c r="C123" s="472">
        <f>IF(D93="","-",+C122+1)</f>
        <v>2031</v>
      </c>
      <c r="D123" s="346">
        <f>IF(F122+SUM(E$99:E122)=D$92,F122,D$92-SUM(E$99:E122))</f>
        <v>35490</v>
      </c>
      <c r="E123" s="486">
        <f>IF(+J96&lt;F122,J96,D123)</f>
        <v>1770</v>
      </c>
      <c r="F123" s="485">
        <f t="shared" si="43"/>
        <v>33720</v>
      </c>
      <c r="G123" s="485">
        <f t="shared" si="44"/>
        <v>34605</v>
      </c>
      <c r="H123" s="488">
        <f t="shared" si="45"/>
        <v>5707.7996028538055</v>
      </c>
      <c r="I123" s="542">
        <f t="shared" si="46"/>
        <v>5707.7996028538055</v>
      </c>
      <c r="J123" s="478">
        <f t="shared" si="27"/>
        <v>0</v>
      </c>
      <c r="K123" s="478"/>
      <c r="L123" s="487"/>
      <c r="M123" s="478">
        <f t="shared" si="28"/>
        <v>0</v>
      </c>
      <c r="N123" s="487"/>
      <c r="O123" s="478">
        <f t="shared" si="29"/>
        <v>0</v>
      </c>
      <c r="P123" s="478">
        <f t="shared" si="30"/>
        <v>0</v>
      </c>
    </row>
    <row r="124" spans="2:16" ht="12.5">
      <c r="B124" s="160" t="str">
        <f t="shared" si="31"/>
        <v/>
      </c>
      <c r="C124" s="472">
        <f>IF(D93="","-",+C123+1)</f>
        <v>2032</v>
      </c>
      <c r="D124" s="346">
        <f>IF(F123+SUM(E$99:E123)=D$92,F123,D$92-SUM(E$99:E123))</f>
        <v>33720</v>
      </c>
      <c r="E124" s="486">
        <f>IF(+J96&lt;F123,J96,D124)</f>
        <v>1770</v>
      </c>
      <c r="F124" s="485">
        <f t="shared" si="43"/>
        <v>31950</v>
      </c>
      <c r="G124" s="485">
        <f t="shared" si="44"/>
        <v>32835</v>
      </c>
      <c r="H124" s="488">
        <f t="shared" si="45"/>
        <v>5506.3863591881145</v>
      </c>
      <c r="I124" s="542">
        <f t="shared" si="46"/>
        <v>5506.3863591881145</v>
      </c>
      <c r="J124" s="478">
        <f t="shared" si="27"/>
        <v>0</v>
      </c>
      <c r="K124" s="478"/>
      <c r="L124" s="487"/>
      <c r="M124" s="478">
        <f t="shared" si="28"/>
        <v>0</v>
      </c>
      <c r="N124" s="487"/>
      <c r="O124" s="478">
        <f t="shared" si="29"/>
        <v>0</v>
      </c>
      <c r="P124" s="478">
        <f t="shared" si="30"/>
        <v>0</v>
      </c>
    </row>
    <row r="125" spans="2:16" ht="12.5">
      <c r="B125" s="160" t="str">
        <f t="shared" si="31"/>
        <v/>
      </c>
      <c r="C125" s="472">
        <f>IF(D93="","-",+C124+1)</f>
        <v>2033</v>
      </c>
      <c r="D125" s="346">
        <f>IF(F124+SUM(E$99:E124)=D$92,F124,D$92-SUM(E$99:E124))</f>
        <v>31950</v>
      </c>
      <c r="E125" s="486">
        <f>IF(+J96&lt;F124,J96,D125)</f>
        <v>1770</v>
      </c>
      <c r="F125" s="485">
        <f t="shared" si="43"/>
        <v>30180</v>
      </c>
      <c r="G125" s="485">
        <f t="shared" si="44"/>
        <v>31065</v>
      </c>
      <c r="H125" s="488">
        <f t="shared" si="45"/>
        <v>5304.9731155224235</v>
      </c>
      <c r="I125" s="542">
        <f t="shared" si="46"/>
        <v>5304.9731155224235</v>
      </c>
      <c r="J125" s="478">
        <f t="shared" si="27"/>
        <v>0</v>
      </c>
      <c r="K125" s="478"/>
      <c r="L125" s="487"/>
      <c r="M125" s="478">
        <f t="shared" si="28"/>
        <v>0</v>
      </c>
      <c r="N125" s="487"/>
      <c r="O125" s="478">
        <f t="shared" si="29"/>
        <v>0</v>
      </c>
      <c r="P125" s="478">
        <f t="shared" si="30"/>
        <v>0</v>
      </c>
    </row>
    <row r="126" spans="2:16" ht="12.5">
      <c r="B126" s="160" t="str">
        <f t="shared" si="31"/>
        <v/>
      </c>
      <c r="C126" s="472">
        <f>IF(D93="","-",+C125+1)</f>
        <v>2034</v>
      </c>
      <c r="D126" s="346">
        <f>IF(F125+SUM(E$99:E125)=D$92,F125,D$92-SUM(E$99:E125))</f>
        <v>30180</v>
      </c>
      <c r="E126" s="486">
        <f>IF(+J96&lt;F125,J96,D126)</f>
        <v>1770</v>
      </c>
      <c r="F126" s="485">
        <f t="shared" si="43"/>
        <v>28410</v>
      </c>
      <c r="G126" s="485">
        <f t="shared" si="44"/>
        <v>29295</v>
      </c>
      <c r="H126" s="488">
        <f t="shared" si="45"/>
        <v>5103.5598718567326</v>
      </c>
      <c r="I126" s="542">
        <f t="shared" si="46"/>
        <v>5103.5598718567326</v>
      </c>
      <c r="J126" s="478">
        <f t="shared" si="27"/>
        <v>0</v>
      </c>
      <c r="K126" s="478"/>
      <c r="L126" s="487"/>
      <c r="M126" s="478">
        <f t="shared" si="28"/>
        <v>0</v>
      </c>
      <c r="N126" s="487"/>
      <c r="O126" s="478">
        <f t="shared" si="29"/>
        <v>0</v>
      </c>
      <c r="P126" s="478">
        <f t="shared" si="30"/>
        <v>0</v>
      </c>
    </row>
    <row r="127" spans="2:16" ht="12.5">
      <c r="B127" s="160" t="str">
        <f t="shared" si="31"/>
        <v/>
      </c>
      <c r="C127" s="472">
        <f>IF(D93="","-",+C126+1)</f>
        <v>2035</v>
      </c>
      <c r="D127" s="346">
        <f>IF(F126+SUM(E$99:E126)=D$92,F126,D$92-SUM(E$99:E126))</f>
        <v>28410</v>
      </c>
      <c r="E127" s="486">
        <f>IF(+J96&lt;F126,J96,D127)</f>
        <v>1770</v>
      </c>
      <c r="F127" s="485">
        <f t="shared" si="43"/>
        <v>26640</v>
      </c>
      <c r="G127" s="485">
        <f t="shared" si="44"/>
        <v>27525</v>
      </c>
      <c r="H127" s="488">
        <f t="shared" si="45"/>
        <v>4902.1466281910416</v>
      </c>
      <c r="I127" s="542">
        <f t="shared" si="46"/>
        <v>4902.1466281910416</v>
      </c>
      <c r="J127" s="478">
        <f t="shared" si="27"/>
        <v>0</v>
      </c>
      <c r="K127" s="478"/>
      <c r="L127" s="487"/>
      <c r="M127" s="478">
        <f t="shared" si="28"/>
        <v>0</v>
      </c>
      <c r="N127" s="487"/>
      <c r="O127" s="478">
        <f t="shared" si="29"/>
        <v>0</v>
      </c>
      <c r="P127" s="478">
        <f t="shared" si="30"/>
        <v>0</v>
      </c>
    </row>
    <row r="128" spans="2:16" ht="12.5">
      <c r="B128" s="160" t="str">
        <f t="shared" si="31"/>
        <v/>
      </c>
      <c r="C128" s="472">
        <f>IF(D93="","-",+C127+1)</f>
        <v>2036</v>
      </c>
      <c r="D128" s="346">
        <f>IF(F127+SUM(E$99:E127)=D$92,F127,D$92-SUM(E$99:E127))</f>
        <v>26640</v>
      </c>
      <c r="E128" s="486">
        <f>IF(+J96&lt;F127,J96,D128)</f>
        <v>1770</v>
      </c>
      <c r="F128" s="485">
        <f t="shared" si="43"/>
        <v>24870</v>
      </c>
      <c r="G128" s="485">
        <f t="shared" si="44"/>
        <v>25755</v>
      </c>
      <c r="H128" s="488">
        <f t="shared" si="45"/>
        <v>4700.7333845253506</v>
      </c>
      <c r="I128" s="542">
        <f t="shared" si="46"/>
        <v>4700.7333845253506</v>
      </c>
      <c r="J128" s="478">
        <f t="shared" si="27"/>
        <v>0</v>
      </c>
      <c r="K128" s="478"/>
      <c r="L128" s="487"/>
      <c r="M128" s="478">
        <f t="shared" si="28"/>
        <v>0</v>
      </c>
      <c r="N128" s="487"/>
      <c r="O128" s="478">
        <f t="shared" si="29"/>
        <v>0</v>
      </c>
      <c r="P128" s="478">
        <f t="shared" si="30"/>
        <v>0</v>
      </c>
    </row>
    <row r="129" spans="2:16" ht="12.5">
      <c r="B129" s="160" t="str">
        <f t="shared" si="31"/>
        <v/>
      </c>
      <c r="C129" s="472">
        <f>IF(D93="","-",+C128+1)</f>
        <v>2037</v>
      </c>
      <c r="D129" s="346">
        <f>IF(F128+SUM(E$99:E128)=D$92,F128,D$92-SUM(E$99:E128))</f>
        <v>24870</v>
      </c>
      <c r="E129" s="486">
        <f>IF(+J96&lt;F128,J96,D129)</f>
        <v>1770</v>
      </c>
      <c r="F129" s="485">
        <f t="shared" si="43"/>
        <v>23100</v>
      </c>
      <c r="G129" s="485">
        <f t="shared" si="44"/>
        <v>23985</v>
      </c>
      <c r="H129" s="488">
        <f t="shared" si="45"/>
        <v>4499.3201408596597</v>
      </c>
      <c r="I129" s="542">
        <f t="shared" si="46"/>
        <v>4499.3201408596597</v>
      </c>
      <c r="J129" s="478">
        <f t="shared" si="27"/>
        <v>0</v>
      </c>
      <c r="K129" s="478"/>
      <c r="L129" s="487"/>
      <c r="M129" s="478">
        <f t="shared" si="28"/>
        <v>0</v>
      </c>
      <c r="N129" s="487"/>
      <c r="O129" s="478">
        <f t="shared" si="29"/>
        <v>0</v>
      </c>
      <c r="P129" s="478">
        <f t="shared" si="30"/>
        <v>0</v>
      </c>
    </row>
    <row r="130" spans="2:16" ht="12.5">
      <c r="B130" s="160" t="str">
        <f t="shared" si="31"/>
        <v/>
      </c>
      <c r="C130" s="472">
        <f>IF(D93="","-",+C129+1)</f>
        <v>2038</v>
      </c>
      <c r="D130" s="346">
        <f>IF(F129+SUM(E$99:E129)=D$92,F129,D$92-SUM(E$99:E129))</f>
        <v>23100</v>
      </c>
      <c r="E130" s="486">
        <f>IF(+J96&lt;F129,J96,D130)</f>
        <v>1770</v>
      </c>
      <c r="F130" s="485">
        <f t="shared" si="43"/>
        <v>21330</v>
      </c>
      <c r="G130" s="485">
        <f t="shared" si="44"/>
        <v>22215</v>
      </c>
      <c r="H130" s="488">
        <f t="shared" si="45"/>
        <v>4297.9068971939687</v>
      </c>
      <c r="I130" s="542">
        <f t="shared" si="46"/>
        <v>4297.9068971939687</v>
      </c>
      <c r="J130" s="478">
        <f t="shared" si="27"/>
        <v>0</v>
      </c>
      <c r="K130" s="478"/>
      <c r="L130" s="487"/>
      <c r="M130" s="478">
        <f t="shared" si="28"/>
        <v>0</v>
      </c>
      <c r="N130" s="487"/>
      <c r="O130" s="478">
        <f t="shared" si="29"/>
        <v>0</v>
      </c>
      <c r="P130" s="478">
        <f t="shared" si="30"/>
        <v>0</v>
      </c>
    </row>
    <row r="131" spans="2:16" ht="12.5">
      <c r="B131" s="160" t="str">
        <f t="shared" si="31"/>
        <v/>
      </c>
      <c r="C131" s="472">
        <f>IF(D93="","-",+C130+1)</f>
        <v>2039</v>
      </c>
      <c r="D131" s="346">
        <f>IF(F130+SUM(E$99:E130)=D$92,F130,D$92-SUM(E$99:E130))</f>
        <v>21330</v>
      </c>
      <c r="E131" s="486">
        <f>IF(+J96&lt;F130,J96,D131)</f>
        <v>1770</v>
      </c>
      <c r="F131" s="485">
        <f t="shared" si="43"/>
        <v>19560</v>
      </c>
      <c r="G131" s="485">
        <f t="shared" si="44"/>
        <v>20445</v>
      </c>
      <c r="H131" s="488">
        <f t="shared" si="45"/>
        <v>4096.4936535282777</v>
      </c>
      <c r="I131" s="542">
        <f t="shared" si="46"/>
        <v>4096.4936535282777</v>
      </c>
      <c r="J131" s="478">
        <f t="shared" ref="J131:J154" si="47">+I541-H541</f>
        <v>0</v>
      </c>
      <c r="K131" s="478"/>
      <c r="L131" s="487"/>
      <c r="M131" s="478">
        <f t="shared" ref="M131:M154" si="48">IF(L541&lt;&gt;0,+H541-L541,0)</f>
        <v>0</v>
      </c>
      <c r="N131" s="487"/>
      <c r="O131" s="478">
        <f t="shared" ref="O131:O154" si="49">IF(N541&lt;&gt;0,+I541-N541,0)</f>
        <v>0</v>
      </c>
      <c r="P131" s="478">
        <f t="shared" ref="P131:P154" si="50">+O541-M541</f>
        <v>0</v>
      </c>
    </row>
    <row r="132" spans="2:16" ht="12.5">
      <c r="B132" s="160" t="str">
        <f t="shared" si="31"/>
        <v/>
      </c>
      <c r="C132" s="472">
        <f>IF(D93="","-",+C131+1)</f>
        <v>2040</v>
      </c>
      <c r="D132" s="346">
        <f>IF(F131+SUM(E$99:E131)=D$92,F131,D$92-SUM(E$99:E131))</f>
        <v>19560</v>
      </c>
      <c r="E132" s="486">
        <f>IF(+J96&lt;F131,J96,D132)</f>
        <v>1770</v>
      </c>
      <c r="F132" s="485">
        <f t="shared" si="43"/>
        <v>17790</v>
      </c>
      <c r="G132" s="485">
        <f t="shared" si="44"/>
        <v>18675</v>
      </c>
      <c r="H132" s="488">
        <f t="shared" si="45"/>
        <v>3895.0804098625867</v>
      </c>
      <c r="I132" s="542">
        <f t="shared" si="46"/>
        <v>3895.0804098625867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 ht="12.5">
      <c r="B133" s="160" t="str">
        <f t="shared" si="31"/>
        <v/>
      </c>
      <c r="C133" s="472">
        <f>IF(D93="","-",+C132+1)</f>
        <v>2041</v>
      </c>
      <c r="D133" s="346">
        <f>IF(F132+SUM(E$99:E132)=D$92,F132,D$92-SUM(E$99:E132))</f>
        <v>17790</v>
      </c>
      <c r="E133" s="486">
        <f>IF(+J96&lt;F132,J96,D133)</f>
        <v>1770</v>
      </c>
      <c r="F133" s="485">
        <f t="shared" si="43"/>
        <v>16020</v>
      </c>
      <c r="G133" s="485">
        <f t="shared" si="44"/>
        <v>16905</v>
      </c>
      <c r="H133" s="488">
        <f t="shared" si="45"/>
        <v>3693.6671661968958</v>
      </c>
      <c r="I133" s="542">
        <f t="shared" si="46"/>
        <v>3693.6671661968958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 ht="12.5">
      <c r="B134" s="160" t="str">
        <f t="shared" si="31"/>
        <v/>
      </c>
      <c r="C134" s="472">
        <f>IF(D93="","-",+C133+1)</f>
        <v>2042</v>
      </c>
      <c r="D134" s="346">
        <f>IF(F133+SUM(E$99:E133)=D$92,F133,D$92-SUM(E$99:E133))</f>
        <v>16020</v>
      </c>
      <c r="E134" s="486">
        <f>IF(+J96&lt;F133,J96,D134)</f>
        <v>1770</v>
      </c>
      <c r="F134" s="485">
        <f t="shared" si="43"/>
        <v>14250</v>
      </c>
      <c r="G134" s="485">
        <f t="shared" si="44"/>
        <v>15135</v>
      </c>
      <c r="H134" s="488">
        <f t="shared" si="45"/>
        <v>3492.2539225312048</v>
      </c>
      <c r="I134" s="542">
        <f t="shared" si="46"/>
        <v>3492.2539225312048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 ht="12.5">
      <c r="B135" s="160" t="str">
        <f t="shared" si="31"/>
        <v/>
      </c>
      <c r="C135" s="472">
        <f>IF(D93="","-",+C134+1)</f>
        <v>2043</v>
      </c>
      <c r="D135" s="346">
        <f>IF(F134+SUM(E$99:E134)=D$92,F134,D$92-SUM(E$99:E134))</f>
        <v>14250</v>
      </c>
      <c r="E135" s="486">
        <f>IF(+J96&lt;F134,J96,D135)</f>
        <v>1770</v>
      </c>
      <c r="F135" s="485">
        <f t="shared" si="43"/>
        <v>12480</v>
      </c>
      <c r="G135" s="485">
        <f t="shared" si="44"/>
        <v>13365</v>
      </c>
      <c r="H135" s="488">
        <f t="shared" si="45"/>
        <v>3290.8406788655138</v>
      </c>
      <c r="I135" s="542">
        <f t="shared" si="46"/>
        <v>3290.8406788655138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 ht="12.5">
      <c r="B136" s="160" t="str">
        <f t="shared" si="31"/>
        <v/>
      </c>
      <c r="C136" s="472">
        <f>IF(D93="","-",+C135+1)</f>
        <v>2044</v>
      </c>
      <c r="D136" s="346">
        <f>IF(F135+SUM(E$99:E135)=D$92,F135,D$92-SUM(E$99:E135))</f>
        <v>12480</v>
      </c>
      <c r="E136" s="486">
        <f>IF(+J96&lt;F135,J96,D136)</f>
        <v>1770</v>
      </c>
      <c r="F136" s="485">
        <f t="shared" si="43"/>
        <v>10710</v>
      </c>
      <c r="G136" s="485">
        <f t="shared" si="44"/>
        <v>11595</v>
      </c>
      <c r="H136" s="488">
        <f t="shared" si="45"/>
        <v>3089.4274351998229</v>
      </c>
      <c r="I136" s="542">
        <f t="shared" si="46"/>
        <v>3089.4274351998229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 ht="12.5">
      <c r="B137" s="160" t="str">
        <f t="shared" si="31"/>
        <v/>
      </c>
      <c r="C137" s="472">
        <f>IF(D93="","-",+C136+1)</f>
        <v>2045</v>
      </c>
      <c r="D137" s="346">
        <f>IF(F136+SUM(E$99:E136)=D$92,F136,D$92-SUM(E$99:E136))</f>
        <v>10710</v>
      </c>
      <c r="E137" s="486">
        <f>IF(+J96&lt;F136,J96,D137)</f>
        <v>1770</v>
      </c>
      <c r="F137" s="485">
        <f t="shared" si="43"/>
        <v>8940</v>
      </c>
      <c r="G137" s="485">
        <f t="shared" si="44"/>
        <v>9825</v>
      </c>
      <c r="H137" s="488">
        <f t="shared" si="45"/>
        <v>2888.0141915341319</v>
      </c>
      <c r="I137" s="542">
        <f t="shared" si="46"/>
        <v>2888.0141915341319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 ht="12.5">
      <c r="B138" s="160" t="str">
        <f t="shared" si="31"/>
        <v/>
      </c>
      <c r="C138" s="472">
        <f>IF(D93="","-",+C137+1)</f>
        <v>2046</v>
      </c>
      <c r="D138" s="346">
        <f>IF(F137+SUM(E$99:E137)=D$92,F137,D$92-SUM(E$99:E137))</f>
        <v>8940</v>
      </c>
      <c r="E138" s="486">
        <f>IF(+J96&lt;F137,J96,D138)</f>
        <v>1770</v>
      </c>
      <c r="F138" s="485">
        <f t="shared" si="43"/>
        <v>7170</v>
      </c>
      <c r="G138" s="485">
        <f t="shared" si="44"/>
        <v>8055</v>
      </c>
      <c r="H138" s="488">
        <f t="shared" si="45"/>
        <v>2686.6009478684409</v>
      </c>
      <c r="I138" s="542">
        <f t="shared" si="46"/>
        <v>2686.6009478684409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 ht="12.5">
      <c r="B139" s="160" t="str">
        <f t="shared" si="31"/>
        <v/>
      </c>
      <c r="C139" s="472">
        <f>IF(D93="","-",+C138+1)</f>
        <v>2047</v>
      </c>
      <c r="D139" s="346">
        <f>IF(F138+SUM(E$99:E138)=D$92,F138,D$92-SUM(E$99:E138))</f>
        <v>7170</v>
      </c>
      <c r="E139" s="486">
        <f>IF(+J96&lt;F138,J96,D139)</f>
        <v>1770</v>
      </c>
      <c r="F139" s="485">
        <f t="shared" si="43"/>
        <v>5400</v>
      </c>
      <c r="G139" s="485">
        <f t="shared" si="44"/>
        <v>6285</v>
      </c>
      <c r="H139" s="488">
        <f t="shared" si="45"/>
        <v>2485.18770420275</v>
      </c>
      <c r="I139" s="542">
        <f t="shared" si="46"/>
        <v>2485.18770420275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 ht="12.5">
      <c r="B140" s="160" t="str">
        <f t="shared" si="31"/>
        <v/>
      </c>
      <c r="C140" s="472">
        <f>IF(D93="","-",+C139+1)</f>
        <v>2048</v>
      </c>
      <c r="D140" s="346">
        <f>IF(F139+SUM(E$99:E139)=D$92,F139,D$92-SUM(E$99:E139))</f>
        <v>5400</v>
      </c>
      <c r="E140" s="486">
        <f>IF(+J96&lt;F139,J96,D140)</f>
        <v>1770</v>
      </c>
      <c r="F140" s="485">
        <f t="shared" si="43"/>
        <v>3630</v>
      </c>
      <c r="G140" s="485">
        <f t="shared" si="44"/>
        <v>4515</v>
      </c>
      <c r="H140" s="488">
        <f t="shared" si="45"/>
        <v>2283.774460537059</v>
      </c>
      <c r="I140" s="542">
        <f t="shared" si="46"/>
        <v>2283.774460537059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 ht="12.5">
      <c r="B141" s="160" t="str">
        <f t="shared" si="31"/>
        <v/>
      </c>
      <c r="C141" s="472">
        <f>IF(D93="","-",+C140+1)</f>
        <v>2049</v>
      </c>
      <c r="D141" s="346">
        <f>IF(F140+SUM(E$99:E140)=D$92,F140,D$92-SUM(E$99:E140))</f>
        <v>3630</v>
      </c>
      <c r="E141" s="486">
        <f>IF(+J96&lt;F140,J96,D141)</f>
        <v>1770</v>
      </c>
      <c r="F141" s="485">
        <f t="shared" si="43"/>
        <v>1860</v>
      </c>
      <c r="G141" s="485">
        <f t="shared" si="44"/>
        <v>2745</v>
      </c>
      <c r="H141" s="488">
        <f t="shared" si="45"/>
        <v>2082.361216871368</v>
      </c>
      <c r="I141" s="542">
        <f t="shared" si="46"/>
        <v>2082.361216871368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 ht="12.5">
      <c r="B142" s="160" t="str">
        <f t="shared" si="31"/>
        <v/>
      </c>
      <c r="C142" s="472">
        <f>IF(D93="","-",+C141+1)</f>
        <v>2050</v>
      </c>
      <c r="D142" s="346">
        <f>IF(F141+SUM(E$99:E141)=D$92,F141,D$92-SUM(E$99:E141))</f>
        <v>1860</v>
      </c>
      <c r="E142" s="486">
        <f>IF(+J96&lt;F141,J96,D142)</f>
        <v>1770</v>
      </c>
      <c r="F142" s="485">
        <f t="shared" si="43"/>
        <v>90</v>
      </c>
      <c r="G142" s="485">
        <f t="shared" si="44"/>
        <v>975</v>
      </c>
      <c r="H142" s="488">
        <f t="shared" si="45"/>
        <v>1880.9479732056773</v>
      </c>
      <c r="I142" s="542">
        <f t="shared" si="46"/>
        <v>1880.9479732056773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 ht="12.5">
      <c r="B143" s="160" t="str">
        <f t="shared" si="31"/>
        <v/>
      </c>
      <c r="C143" s="472">
        <f>IF(D93="","-",+C142+1)</f>
        <v>2051</v>
      </c>
      <c r="D143" s="346">
        <f>IF(F142+SUM(E$99:E142)=D$92,F142,D$92-SUM(E$99:E142))</f>
        <v>90</v>
      </c>
      <c r="E143" s="486">
        <f>IF(+J96&lt;F142,J96,D143)</f>
        <v>90</v>
      </c>
      <c r="F143" s="485">
        <f t="shared" si="43"/>
        <v>0</v>
      </c>
      <c r="G143" s="485">
        <f t="shared" si="44"/>
        <v>45</v>
      </c>
      <c r="H143" s="488">
        <f t="shared" si="45"/>
        <v>95.120675686415865</v>
      </c>
      <c r="I143" s="542">
        <f t="shared" si="46"/>
        <v>95.120675686415865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 ht="12.5">
      <c r="B144" s="160" t="str">
        <f t="shared" si="31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3"/>
        <v>0</v>
      </c>
      <c r="G144" s="485">
        <f t="shared" si="44"/>
        <v>0</v>
      </c>
      <c r="H144" s="488">
        <f t="shared" si="45"/>
        <v>0</v>
      </c>
      <c r="I144" s="542">
        <f t="shared" si="46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 ht="12.5">
      <c r="B145" s="160" t="str">
        <f t="shared" si="31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3"/>
        <v>0</v>
      </c>
      <c r="G145" s="485">
        <f t="shared" si="44"/>
        <v>0</v>
      </c>
      <c r="H145" s="488">
        <f t="shared" si="45"/>
        <v>0</v>
      </c>
      <c r="I145" s="542">
        <f t="shared" si="46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 ht="12.5">
      <c r="B146" s="160" t="str">
        <f t="shared" si="31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3"/>
        <v>0</v>
      </c>
      <c r="G146" s="485">
        <f t="shared" si="44"/>
        <v>0</v>
      </c>
      <c r="H146" s="488">
        <f t="shared" si="45"/>
        <v>0</v>
      </c>
      <c r="I146" s="542">
        <f t="shared" si="46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 ht="12.5">
      <c r="B147" s="160" t="str">
        <f t="shared" si="31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3"/>
        <v>0</v>
      </c>
      <c r="G147" s="485">
        <f t="shared" si="44"/>
        <v>0</v>
      </c>
      <c r="H147" s="488">
        <f t="shared" si="45"/>
        <v>0</v>
      </c>
      <c r="I147" s="542">
        <f t="shared" si="46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 ht="12.5">
      <c r="B148" s="160" t="str">
        <f t="shared" si="31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3"/>
        <v>0</v>
      </c>
      <c r="G148" s="485">
        <f t="shared" si="44"/>
        <v>0</v>
      </c>
      <c r="H148" s="488">
        <f t="shared" si="45"/>
        <v>0</v>
      </c>
      <c r="I148" s="542">
        <f t="shared" si="46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 ht="12.5">
      <c r="B149" s="160" t="str">
        <f t="shared" si="31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3"/>
        <v>0</v>
      </c>
      <c r="G149" s="485">
        <f t="shared" si="44"/>
        <v>0</v>
      </c>
      <c r="H149" s="488">
        <f t="shared" si="45"/>
        <v>0</v>
      </c>
      <c r="I149" s="542">
        <f t="shared" si="46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 ht="12.5">
      <c r="B150" s="160" t="str">
        <f t="shared" si="31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3"/>
        <v>0</v>
      </c>
      <c r="G150" s="485">
        <f t="shared" si="44"/>
        <v>0</v>
      </c>
      <c r="H150" s="488">
        <f t="shared" si="45"/>
        <v>0</v>
      </c>
      <c r="I150" s="542">
        <f t="shared" si="46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 ht="12.5">
      <c r="B151" s="160" t="str">
        <f t="shared" si="31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3"/>
        <v>0</v>
      </c>
      <c r="G151" s="485">
        <f t="shared" si="44"/>
        <v>0</v>
      </c>
      <c r="H151" s="488">
        <f t="shared" si="45"/>
        <v>0</v>
      </c>
      <c r="I151" s="542">
        <f t="shared" si="46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 ht="12.5">
      <c r="B152" s="160" t="str">
        <f t="shared" si="31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3"/>
        <v>0</v>
      </c>
      <c r="G152" s="485">
        <f t="shared" si="44"/>
        <v>0</v>
      </c>
      <c r="H152" s="488">
        <f t="shared" si="45"/>
        <v>0</v>
      </c>
      <c r="I152" s="542">
        <f t="shared" si="46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 ht="12.5">
      <c r="B153" s="160" t="str">
        <f t="shared" si="31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3"/>
        <v>0</v>
      </c>
      <c r="G153" s="485">
        <f t="shared" si="44"/>
        <v>0</v>
      </c>
      <c r="H153" s="488">
        <f t="shared" si="45"/>
        <v>0</v>
      </c>
      <c r="I153" s="542">
        <f t="shared" si="46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" thickBot="1">
      <c r="B154" s="160" t="str">
        <f t="shared" si="31"/>
        <v/>
      </c>
      <c r="C154" s="489">
        <f>IF(D93="","-",+C153+1)</f>
        <v>2062</v>
      </c>
      <c r="D154" s="490">
        <f>IF(F153+SUM(E$99:E153)=D$92,F153,D$92-SUM(E$99:E153))</f>
        <v>0</v>
      </c>
      <c r="E154" s="544">
        <f>IF(+J96&lt;F153,J96,D154)</f>
        <v>0</v>
      </c>
      <c r="F154" s="490">
        <f t="shared" si="43"/>
        <v>0</v>
      </c>
      <c r="G154" s="490">
        <f t="shared" si="44"/>
        <v>0</v>
      </c>
      <c r="H154" s="492">
        <f t="shared" si="45"/>
        <v>0</v>
      </c>
      <c r="I154" s="545">
        <f t="shared" si="46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 ht="12.5">
      <c r="C155" s="346" t="s">
        <v>77</v>
      </c>
      <c r="D155" s="347"/>
      <c r="E155" s="347">
        <f>SUM(E99:E154)</f>
        <v>72551</v>
      </c>
      <c r="F155" s="347"/>
      <c r="G155" s="347"/>
      <c r="H155" s="347">
        <f>SUM(H99:H154)</f>
        <v>281124.03024196642</v>
      </c>
      <c r="I155" s="347">
        <f>SUM(I99:I154)</f>
        <v>281124.03024196642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0">
    <tabColor rgb="FFC0000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10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10616.051282051281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10616.051282051281</v>
      </c>
      <c r="O6" s="232"/>
      <c r="P6" s="232"/>
    </row>
    <row r="7" spans="1:16" ht="13.5" thickBot="1">
      <c r="C7" s="431" t="s">
        <v>46</v>
      </c>
      <c r="D7" s="564" t="s">
        <v>258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221</v>
      </c>
      <c r="E9" s="577" t="s">
        <v>345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96566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2476.0512820512822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2010</v>
      </c>
      <c r="D17" s="473">
        <v>135400</v>
      </c>
      <c r="E17" s="474">
        <v>1209</v>
      </c>
      <c r="F17" s="473">
        <v>134191</v>
      </c>
      <c r="G17" s="474">
        <v>20572</v>
      </c>
      <c r="H17" s="481">
        <v>20572</v>
      </c>
      <c r="I17" s="475">
        <f t="shared" ref="I17:I48" si="0">H17-G17</f>
        <v>0</v>
      </c>
      <c r="J17" s="475"/>
      <c r="K17" s="554">
        <f t="shared" ref="K17:K22" si="1">G17</f>
        <v>20572</v>
      </c>
      <c r="L17" s="477">
        <f t="shared" ref="L17:L48" si="2">IF(K17&lt;&gt;0,+G17-K17,0)</f>
        <v>0</v>
      </c>
      <c r="M17" s="554">
        <f t="shared" ref="M17:M22" si="3">H17</f>
        <v>20572</v>
      </c>
      <c r="N17" s="477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2011</v>
      </c>
      <c r="D18" s="479">
        <v>95357</v>
      </c>
      <c r="E18" s="480">
        <v>1893.4509803921569</v>
      </c>
      <c r="F18" s="479">
        <v>93463.549019607846</v>
      </c>
      <c r="G18" s="480">
        <v>16524.450980392157</v>
      </c>
      <c r="H18" s="481">
        <v>16524.450980392157</v>
      </c>
      <c r="I18" s="475">
        <f t="shared" si="0"/>
        <v>0</v>
      </c>
      <c r="J18" s="475"/>
      <c r="K18" s="476">
        <f t="shared" si="1"/>
        <v>16524.450980392157</v>
      </c>
      <c r="L18" s="550">
        <f t="shared" si="2"/>
        <v>0</v>
      </c>
      <c r="M18" s="476">
        <f t="shared" si="3"/>
        <v>16524.450980392157</v>
      </c>
      <c r="N18" s="478">
        <f t="shared" si="4"/>
        <v>0</v>
      </c>
      <c r="O18" s="478">
        <f t="shared" si="5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2012</v>
      </c>
      <c r="D19" s="479">
        <v>93463.549019607846</v>
      </c>
      <c r="E19" s="480">
        <v>1857.0384615384614</v>
      </c>
      <c r="F19" s="479">
        <v>91606.510558069378</v>
      </c>
      <c r="G19" s="480">
        <v>14609.038461538461</v>
      </c>
      <c r="H19" s="481">
        <v>14609.038461538461</v>
      </c>
      <c r="I19" s="475">
        <f t="shared" si="0"/>
        <v>0</v>
      </c>
      <c r="J19" s="475"/>
      <c r="K19" s="476">
        <f t="shared" si="1"/>
        <v>14609.038461538461</v>
      </c>
      <c r="L19" s="550">
        <f t="shared" si="2"/>
        <v>0</v>
      </c>
      <c r="M19" s="476">
        <f t="shared" si="3"/>
        <v>14609.038461538461</v>
      </c>
      <c r="N19" s="478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2013</v>
      </c>
      <c r="D20" s="479">
        <v>91606.510558069378</v>
      </c>
      <c r="E20" s="480">
        <v>1857.0384615384614</v>
      </c>
      <c r="F20" s="479">
        <v>89749.47209653091</v>
      </c>
      <c r="G20" s="480">
        <v>14674.038461538461</v>
      </c>
      <c r="H20" s="481">
        <v>14674.038461538461</v>
      </c>
      <c r="I20" s="475">
        <v>0</v>
      </c>
      <c r="J20" s="475"/>
      <c r="K20" s="476">
        <f t="shared" si="1"/>
        <v>14674.038461538461</v>
      </c>
      <c r="L20" s="550">
        <f t="shared" ref="L20:L25" si="7">IF(K20&lt;&gt;0,+G20-K20,0)</f>
        <v>0</v>
      </c>
      <c r="M20" s="476">
        <f t="shared" si="3"/>
        <v>14674.038461538461</v>
      </c>
      <c r="N20" s="478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 ht="12.5">
      <c r="B21" s="160" t="str">
        <f t="shared" si="6"/>
        <v/>
      </c>
      <c r="C21" s="472">
        <f>IF(D11="","-",+C20+1)</f>
        <v>2014</v>
      </c>
      <c r="D21" s="479">
        <v>89749.47209653091</v>
      </c>
      <c r="E21" s="480">
        <v>1857.0384615384614</v>
      </c>
      <c r="F21" s="479">
        <v>87892.433634992442</v>
      </c>
      <c r="G21" s="480">
        <v>13956.038461538461</v>
      </c>
      <c r="H21" s="481">
        <v>13956.038461538461</v>
      </c>
      <c r="I21" s="475">
        <v>0</v>
      </c>
      <c r="J21" s="475"/>
      <c r="K21" s="476">
        <f t="shared" si="1"/>
        <v>13956.038461538461</v>
      </c>
      <c r="L21" s="550">
        <f t="shared" si="7"/>
        <v>0</v>
      </c>
      <c r="M21" s="476">
        <f t="shared" si="3"/>
        <v>13956.038461538461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2015</v>
      </c>
      <c r="D22" s="479">
        <v>87892.433634992442</v>
      </c>
      <c r="E22" s="480">
        <v>1857.0384615384614</v>
      </c>
      <c r="F22" s="479">
        <v>86035.395173453973</v>
      </c>
      <c r="G22" s="480">
        <v>13719.038461538461</v>
      </c>
      <c r="H22" s="481">
        <v>13719.038461538461</v>
      </c>
      <c r="I22" s="475">
        <v>0</v>
      </c>
      <c r="J22" s="475"/>
      <c r="K22" s="476">
        <f t="shared" si="1"/>
        <v>13719.038461538461</v>
      </c>
      <c r="L22" s="550">
        <f t="shared" si="7"/>
        <v>0</v>
      </c>
      <c r="M22" s="476">
        <f t="shared" si="3"/>
        <v>13719.038461538461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2016</v>
      </c>
      <c r="D23" s="479">
        <v>86035.395173453973</v>
      </c>
      <c r="E23" s="480">
        <v>1857.0384615384614</v>
      </c>
      <c r="F23" s="479">
        <v>84178.356711915505</v>
      </c>
      <c r="G23" s="480">
        <v>12898.038461538461</v>
      </c>
      <c r="H23" s="481">
        <v>12898.038461538461</v>
      </c>
      <c r="I23" s="475">
        <f t="shared" si="0"/>
        <v>0</v>
      </c>
      <c r="J23" s="475"/>
      <c r="K23" s="476">
        <f t="shared" ref="K23:K28" si="10">G23</f>
        <v>12898.038461538461</v>
      </c>
      <c r="L23" s="550">
        <f t="shared" si="7"/>
        <v>0</v>
      </c>
      <c r="M23" s="476">
        <f t="shared" ref="M23:M28" si="11">H23</f>
        <v>12898.038461538461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2017</v>
      </c>
      <c r="D24" s="479">
        <v>84178.356711915505</v>
      </c>
      <c r="E24" s="480">
        <v>2099.2608695652175</v>
      </c>
      <c r="F24" s="479">
        <v>82079.095842350289</v>
      </c>
      <c r="G24" s="480">
        <v>12544.260869565218</v>
      </c>
      <c r="H24" s="481">
        <v>12544.260869565218</v>
      </c>
      <c r="I24" s="475">
        <f t="shared" si="0"/>
        <v>0</v>
      </c>
      <c r="J24" s="475"/>
      <c r="K24" s="476">
        <f t="shared" si="10"/>
        <v>12544.260869565218</v>
      </c>
      <c r="L24" s="550">
        <f t="shared" si="7"/>
        <v>0</v>
      </c>
      <c r="M24" s="476">
        <f t="shared" si="11"/>
        <v>12544.260869565218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2018</v>
      </c>
      <c r="D25" s="479">
        <v>82079.095842350289</v>
      </c>
      <c r="E25" s="480">
        <v>2145.911111111111</v>
      </c>
      <c r="F25" s="479">
        <v>79933.184731239176</v>
      </c>
      <c r="G25" s="480">
        <v>11847.120662682713</v>
      </c>
      <c r="H25" s="481">
        <v>11847.120662682713</v>
      </c>
      <c r="I25" s="475">
        <f t="shared" si="0"/>
        <v>0</v>
      </c>
      <c r="J25" s="475"/>
      <c r="K25" s="476">
        <f t="shared" si="10"/>
        <v>11847.120662682713</v>
      </c>
      <c r="L25" s="550">
        <f t="shared" si="7"/>
        <v>0</v>
      </c>
      <c r="M25" s="476">
        <f t="shared" si="11"/>
        <v>11847.120662682713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2019</v>
      </c>
      <c r="D26" s="479">
        <v>79933.184731239176</v>
      </c>
      <c r="E26" s="480">
        <v>2414.15</v>
      </c>
      <c r="F26" s="479">
        <v>77519.034731239182</v>
      </c>
      <c r="G26" s="480">
        <v>11204.44220775155</v>
      </c>
      <c r="H26" s="481">
        <v>11204.44220775155</v>
      </c>
      <c r="I26" s="475">
        <f t="shared" si="0"/>
        <v>0</v>
      </c>
      <c r="J26" s="475"/>
      <c r="K26" s="476">
        <f t="shared" si="10"/>
        <v>11204.44220775155</v>
      </c>
      <c r="L26" s="550">
        <f t="shared" ref="L26" si="12">IF(K26&lt;&gt;0,+G26-K26,0)</f>
        <v>0</v>
      </c>
      <c r="M26" s="476">
        <f t="shared" si="11"/>
        <v>11204.44220775155</v>
      </c>
      <c r="N26" s="478">
        <f t="shared" ref="N26" si="13">IF(M26&lt;&gt;0,+H26-M26,0)</f>
        <v>0</v>
      </c>
      <c r="O26" s="478">
        <f t="shared" ref="O26" si="14">+N26-L26</f>
        <v>0</v>
      </c>
      <c r="P26" s="242"/>
    </row>
    <row r="27" spans="2:16" ht="12.5">
      <c r="B27" s="566" t="str">
        <f t="shared" si="6"/>
        <v>IU</v>
      </c>
      <c r="C27" s="472">
        <f>IF(D11="","-",+C26+1)</f>
        <v>2020</v>
      </c>
      <c r="D27" s="479">
        <v>77787.273620128064</v>
      </c>
      <c r="E27" s="480">
        <v>2299.1904761904761</v>
      </c>
      <c r="F27" s="479">
        <v>75488.083143937591</v>
      </c>
      <c r="G27" s="480">
        <v>10576.425832738674</v>
      </c>
      <c r="H27" s="481">
        <v>10576.425832738674</v>
      </c>
      <c r="I27" s="475">
        <f t="shared" si="0"/>
        <v>0</v>
      </c>
      <c r="J27" s="475"/>
      <c r="K27" s="476">
        <f t="shared" si="10"/>
        <v>10576.425832738674</v>
      </c>
      <c r="L27" s="550">
        <f t="shared" ref="L27" si="15">IF(K27&lt;&gt;0,+G27-K27,0)</f>
        <v>0</v>
      </c>
      <c r="M27" s="476">
        <f t="shared" si="11"/>
        <v>10576.425832738674</v>
      </c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>IU</v>
      </c>
      <c r="C28" s="472">
        <f>IF(D11="","-",+C27+1)</f>
        <v>2021</v>
      </c>
      <c r="D28" s="479">
        <v>75219.844255048723</v>
      </c>
      <c r="E28" s="480">
        <v>2245.7209302325582</v>
      </c>
      <c r="F28" s="479">
        <v>72974.123324816159</v>
      </c>
      <c r="G28" s="480">
        <v>10113.720930232557</v>
      </c>
      <c r="H28" s="481">
        <v>10113.720930232557</v>
      </c>
      <c r="I28" s="475">
        <f t="shared" si="0"/>
        <v>0</v>
      </c>
      <c r="J28" s="475"/>
      <c r="K28" s="476">
        <f t="shared" si="10"/>
        <v>10113.720930232557</v>
      </c>
      <c r="L28" s="550">
        <f t="shared" ref="L28" si="16">IF(K28&lt;&gt;0,+G28-K28,0)</f>
        <v>0</v>
      </c>
      <c r="M28" s="476">
        <f t="shared" si="11"/>
        <v>10113.720930232557</v>
      </c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2022</v>
      </c>
      <c r="D29" s="479">
        <v>72974.123324816159</v>
      </c>
      <c r="E29" s="480">
        <v>2299.1904761904761</v>
      </c>
      <c r="F29" s="479">
        <v>70674.932848625685</v>
      </c>
      <c r="G29" s="480">
        <v>9919.1904761904771</v>
      </c>
      <c r="H29" s="481">
        <v>9919.1904761904771</v>
      </c>
      <c r="I29" s="475">
        <f t="shared" si="0"/>
        <v>0</v>
      </c>
      <c r="J29" s="475"/>
      <c r="K29" s="476">
        <f t="shared" ref="K29" si="17">G29</f>
        <v>9919.1904761904771</v>
      </c>
      <c r="L29" s="550">
        <f t="shared" ref="L29" si="18">IF(K29&lt;&gt;0,+G29-K29,0)</f>
        <v>0</v>
      </c>
      <c r="M29" s="476">
        <f t="shared" ref="M29" si="19">H29</f>
        <v>9919.1904761904771</v>
      </c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70674.932848625685</v>
      </c>
      <c r="E30" s="484">
        <f>IF(+I14&lt;F29,I14,D30)</f>
        <v>2476.0512820512822</v>
      </c>
      <c r="F30" s="485">
        <f t="shared" ref="F30:F48" si="20">+D30-E30</f>
        <v>68198.881566574404</v>
      </c>
      <c r="G30" s="486">
        <f t="shared" ref="G30:G72" si="21">ROUND(I$12*F30,0)+E30</f>
        <v>10616.051282051281</v>
      </c>
      <c r="H30" s="455">
        <f t="shared" ref="H30:H72" si="22">ROUND(I$13*F30,0)+E30</f>
        <v>10616.051282051281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68198.881566574404</v>
      </c>
      <c r="E31" s="484">
        <f>IF(+I14&lt;F30,I14,D31)</f>
        <v>2476.0512820512822</v>
      </c>
      <c r="F31" s="485">
        <f t="shared" si="20"/>
        <v>65722.830284523123</v>
      </c>
      <c r="G31" s="486">
        <f t="shared" si="21"/>
        <v>10321.051282051281</v>
      </c>
      <c r="H31" s="455">
        <f t="shared" si="22"/>
        <v>10321.051282051281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65722.830284523123</v>
      </c>
      <c r="E32" s="484">
        <f>IF(+I14&lt;F31,I14,D32)</f>
        <v>2476.0512820512822</v>
      </c>
      <c r="F32" s="485">
        <f t="shared" si="20"/>
        <v>63246.779002471842</v>
      </c>
      <c r="G32" s="486">
        <f t="shared" si="21"/>
        <v>10025.051282051281</v>
      </c>
      <c r="H32" s="455">
        <f t="shared" si="22"/>
        <v>10025.051282051281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63246.779002471842</v>
      </c>
      <c r="E33" s="484">
        <f>IF(+I14&lt;F32,I14,D33)</f>
        <v>2476.0512820512822</v>
      </c>
      <c r="F33" s="485">
        <f t="shared" si="20"/>
        <v>60770.72772042056</v>
      </c>
      <c r="G33" s="486">
        <f t="shared" si="21"/>
        <v>9730.0512820512813</v>
      </c>
      <c r="H33" s="455">
        <f t="shared" si="22"/>
        <v>9730.0512820512813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60770.72772042056</v>
      </c>
      <c r="E34" s="484">
        <f>IF(+I14&lt;F33,I14,D34)</f>
        <v>2476.0512820512822</v>
      </c>
      <c r="F34" s="485">
        <f t="shared" si="20"/>
        <v>58294.676438369279</v>
      </c>
      <c r="G34" s="486">
        <f t="shared" si="21"/>
        <v>9434.0512820512813</v>
      </c>
      <c r="H34" s="455">
        <f t="shared" si="22"/>
        <v>9434.0512820512813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58294.676438369279</v>
      </c>
      <c r="E35" s="484">
        <f>IF(+I14&lt;F34,I14,D35)</f>
        <v>2476.0512820512822</v>
      </c>
      <c r="F35" s="485">
        <f t="shared" si="20"/>
        <v>55818.625156317998</v>
      </c>
      <c r="G35" s="486">
        <f t="shared" si="21"/>
        <v>9138.0512820512813</v>
      </c>
      <c r="H35" s="455">
        <f t="shared" si="22"/>
        <v>9138.0512820512813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55818.625156317998</v>
      </c>
      <c r="E36" s="484">
        <f>IF(+I14&lt;F35,I14,D36)</f>
        <v>2476.0512820512822</v>
      </c>
      <c r="F36" s="485">
        <f t="shared" si="20"/>
        <v>53342.573874266716</v>
      </c>
      <c r="G36" s="486">
        <f t="shared" si="21"/>
        <v>8843.0512820512813</v>
      </c>
      <c r="H36" s="455">
        <f t="shared" si="22"/>
        <v>8843.0512820512813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53342.573874266716</v>
      </c>
      <c r="E37" s="484">
        <f>IF(+I14&lt;F36,I14,D37)</f>
        <v>2476.0512820512822</v>
      </c>
      <c r="F37" s="485">
        <f t="shared" si="20"/>
        <v>50866.522592215435</v>
      </c>
      <c r="G37" s="486">
        <f t="shared" si="21"/>
        <v>8547.0512820512813</v>
      </c>
      <c r="H37" s="455">
        <f t="shared" si="22"/>
        <v>8547.0512820512813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50866.522592215435</v>
      </c>
      <c r="E38" s="484">
        <f>IF(+I14&lt;F37,I14,D38)</f>
        <v>2476.0512820512822</v>
      </c>
      <c r="F38" s="485">
        <f t="shared" si="20"/>
        <v>48390.471310164154</v>
      </c>
      <c r="G38" s="486">
        <f t="shared" si="21"/>
        <v>8252.0512820512813</v>
      </c>
      <c r="H38" s="455">
        <f t="shared" si="22"/>
        <v>8252.0512820512813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48390.471310164154</v>
      </c>
      <c r="E39" s="484">
        <f>IF(+I14&lt;F38,I14,D39)</f>
        <v>2476.0512820512822</v>
      </c>
      <c r="F39" s="485">
        <f t="shared" si="20"/>
        <v>45914.420028112872</v>
      </c>
      <c r="G39" s="486">
        <f t="shared" si="21"/>
        <v>7956.0512820512822</v>
      </c>
      <c r="H39" s="455">
        <f t="shared" si="22"/>
        <v>7956.0512820512822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45914.420028112872</v>
      </c>
      <c r="E40" s="484">
        <f>IF(+I14&lt;F39,I14,D40)</f>
        <v>2476.0512820512822</v>
      </c>
      <c r="F40" s="485">
        <f t="shared" si="20"/>
        <v>43438.368746061591</v>
      </c>
      <c r="G40" s="486">
        <f t="shared" si="21"/>
        <v>7661.0512820512822</v>
      </c>
      <c r="H40" s="455">
        <f t="shared" si="22"/>
        <v>7661.0512820512822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43438.368746061591</v>
      </c>
      <c r="E41" s="484">
        <f>IF(+I14&lt;F40,I14,D41)</f>
        <v>2476.0512820512822</v>
      </c>
      <c r="F41" s="485">
        <f t="shared" si="20"/>
        <v>40962.31746401031</v>
      </c>
      <c r="G41" s="486">
        <f t="shared" si="21"/>
        <v>7365.0512820512822</v>
      </c>
      <c r="H41" s="455">
        <f t="shared" si="22"/>
        <v>7365.0512820512822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40962.31746401031</v>
      </c>
      <c r="E42" s="484">
        <f>IF(+I14&lt;F41,I14,D42)</f>
        <v>2476.0512820512822</v>
      </c>
      <c r="F42" s="485">
        <f t="shared" si="20"/>
        <v>38486.266181959028</v>
      </c>
      <c r="G42" s="486">
        <f t="shared" si="21"/>
        <v>7070.0512820512822</v>
      </c>
      <c r="H42" s="455">
        <f t="shared" si="22"/>
        <v>7070.0512820512822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38486.266181959028</v>
      </c>
      <c r="E43" s="484">
        <f>IF(+I14&lt;F42,I14,D43)</f>
        <v>2476.0512820512822</v>
      </c>
      <c r="F43" s="485">
        <f t="shared" si="20"/>
        <v>36010.214899907747</v>
      </c>
      <c r="G43" s="486">
        <f t="shared" si="21"/>
        <v>6774.0512820512822</v>
      </c>
      <c r="H43" s="455">
        <f t="shared" si="22"/>
        <v>6774.0512820512822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36010.214899907747</v>
      </c>
      <c r="E44" s="484">
        <f>IF(+I14&lt;F43,I14,D44)</f>
        <v>2476.0512820512822</v>
      </c>
      <c r="F44" s="485">
        <f t="shared" si="20"/>
        <v>33534.163617856466</v>
      </c>
      <c r="G44" s="486">
        <f t="shared" si="21"/>
        <v>6479.0512820512822</v>
      </c>
      <c r="H44" s="455">
        <f t="shared" si="22"/>
        <v>6479.0512820512822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33534.163617856466</v>
      </c>
      <c r="E45" s="484">
        <f>IF(+I14&lt;F44,I14,D45)</f>
        <v>2476.0512820512822</v>
      </c>
      <c r="F45" s="485">
        <f t="shared" si="20"/>
        <v>31058.112335805185</v>
      </c>
      <c r="G45" s="486">
        <f t="shared" si="21"/>
        <v>6183.0512820512822</v>
      </c>
      <c r="H45" s="455">
        <f t="shared" si="22"/>
        <v>6183.0512820512822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31058.112335805185</v>
      </c>
      <c r="E46" s="484">
        <f>IF(+I14&lt;F45,I14,D46)</f>
        <v>2476.0512820512822</v>
      </c>
      <c r="F46" s="485">
        <f t="shared" si="20"/>
        <v>28582.061053753903</v>
      </c>
      <c r="G46" s="486">
        <f t="shared" si="21"/>
        <v>5888.0512820512822</v>
      </c>
      <c r="H46" s="455">
        <f t="shared" si="22"/>
        <v>5888.0512820512822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28582.061053753903</v>
      </c>
      <c r="E47" s="484">
        <f>IF(+I14&lt;F46,I14,D47)</f>
        <v>2476.0512820512822</v>
      </c>
      <c r="F47" s="485">
        <f t="shared" si="20"/>
        <v>26106.009771702622</v>
      </c>
      <c r="G47" s="486">
        <f t="shared" si="21"/>
        <v>5592.0512820512822</v>
      </c>
      <c r="H47" s="455">
        <f t="shared" si="22"/>
        <v>5592.0512820512822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26106.009771702622</v>
      </c>
      <c r="E48" s="484">
        <f>IF(+I14&lt;F47,I14,D48)</f>
        <v>2476.0512820512822</v>
      </c>
      <c r="F48" s="485">
        <f t="shared" si="20"/>
        <v>23629.958489651341</v>
      </c>
      <c r="G48" s="486">
        <f t="shared" si="21"/>
        <v>5296.0512820512822</v>
      </c>
      <c r="H48" s="455">
        <f t="shared" si="22"/>
        <v>5296.0512820512822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23629.958489651341</v>
      </c>
      <c r="E49" s="484">
        <f>IF(+I14&lt;F48,I14,D49)</f>
        <v>2476.0512820512822</v>
      </c>
      <c r="F49" s="485">
        <f t="shared" ref="F49:F72" si="23">+D49-E49</f>
        <v>21153.907207600059</v>
      </c>
      <c r="G49" s="486">
        <f t="shared" si="21"/>
        <v>5001.0512820512822</v>
      </c>
      <c r="H49" s="455">
        <f t="shared" si="22"/>
        <v>5001.0512820512822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2043</v>
      </c>
      <c r="D50" s="485">
        <f>IF(F49+SUM(E$17:E49)=D$10,F49,D$10-SUM(E$17:E49))</f>
        <v>21153.907207600059</v>
      </c>
      <c r="E50" s="484">
        <f>IF(+I14&lt;F49,I14,D50)</f>
        <v>2476.0512820512822</v>
      </c>
      <c r="F50" s="485">
        <f t="shared" si="23"/>
        <v>18677.855925548778</v>
      </c>
      <c r="G50" s="486">
        <f t="shared" si="21"/>
        <v>4705.0512820512822</v>
      </c>
      <c r="H50" s="455">
        <f t="shared" si="22"/>
        <v>4705.0512820512822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6"/>
        <v/>
      </c>
      <c r="C51" s="472">
        <f>IF(D11="","-",+C50+1)</f>
        <v>2044</v>
      </c>
      <c r="D51" s="485">
        <f>IF(F50+SUM(E$17:E50)=D$10,F50,D$10-SUM(E$17:E50))</f>
        <v>18677.855925548778</v>
      </c>
      <c r="E51" s="484">
        <f>IF(+I14&lt;F50,I14,D51)</f>
        <v>2476.0512820512822</v>
      </c>
      <c r="F51" s="485">
        <f t="shared" si="23"/>
        <v>16201.804643497497</v>
      </c>
      <c r="G51" s="486">
        <f t="shared" si="21"/>
        <v>4410.0512820512822</v>
      </c>
      <c r="H51" s="455">
        <f t="shared" si="22"/>
        <v>4410.0512820512822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6"/>
        <v/>
      </c>
      <c r="C52" s="472">
        <f>IF(D11="","-",+C51+1)</f>
        <v>2045</v>
      </c>
      <c r="D52" s="485">
        <f>IF(F51+SUM(E$17:E51)=D$10,F51,D$10-SUM(E$17:E51))</f>
        <v>16201.804643497497</v>
      </c>
      <c r="E52" s="484">
        <f>IF(+I14&lt;F51,I14,D52)</f>
        <v>2476.0512820512822</v>
      </c>
      <c r="F52" s="485">
        <f t="shared" si="23"/>
        <v>13725.753361446215</v>
      </c>
      <c r="G52" s="486">
        <f t="shared" si="21"/>
        <v>4114.0512820512822</v>
      </c>
      <c r="H52" s="455">
        <f t="shared" si="22"/>
        <v>4114.0512820512822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6"/>
        <v/>
      </c>
      <c r="C53" s="472">
        <f>IF(D11="","-",+C52+1)</f>
        <v>2046</v>
      </c>
      <c r="D53" s="485">
        <f>IF(F52+SUM(E$17:E52)=D$10,F52,D$10-SUM(E$17:E52))</f>
        <v>13725.753361446215</v>
      </c>
      <c r="E53" s="484">
        <f>IF(+I14&lt;F52,I14,D53)</f>
        <v>2476.0512820512822</v>
      </c>
      <c r="F53" s="485">
        <f t="shared" si="23"/>
        <v>11249.702079394934</v>
      </c>
      <c r="G53" s="486">
        <f t="shared" si="21"/>
        <v>3819.0512820512822</v>
      </c>
      <c r="H53" s="455">
        <f t="shared" si="22"/>
        <v>3819.0512820512822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6"/>
        <v/>
      </c>
      <c r="C54" s="472">
        <f>IF(D11="","-",+C53+1)</f>
        <v>2047</v>
      </c>
      <c r="D54" s="485">
        <f>IF(F53+SUM(E$17:E53)=D$10,F53,D$10-SUM(E$17:E53))</f>
        <v>11249.702079394934</v>
      </c>
      <c r="E54" s="484">
        <f>IF(+I14&lt;F53,I14,D54)</f>
        <v>2476.0512820512822</v>
      </c>
      <c r="F54" s="485">
        <f t="shared" si="23"/>
        <v>8773.6507973436528</v>
      </c>
      <c r="G54" s="486">
        <f t="shared" si="21"/>
        <v>3523.0512820512822</v>
      </c>
      <c r="H54" s="455">
        <f t="shared" si="22"/>
        <v>3523.0512820512822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6"/>
        <v/>
      </c>
      <c r="C55" s="472">
        <f>IF(D11="","-",+C54+1)</f>
        <v>2048</v>
      </c>
      <c r="D55" s="485">
        <f>IF(F54+SUM(E$17:E54)=D$10,F54,D$10-SUM(E$17:E54))</f>
        <v>8773.6507973436528</v>
      </c>
      <c r="E55" s="484">
        <f>IF(+I14&lt;F54,I14,D55)</f>
        <v>2476.0512820512822</v>
      </c>
      <c r="F55" s="485">
        <f t="shared" si="23"/>
        <v>6297.5995152923706</v>
      </c>
      <c r="G55" s="486">
        <f t="shared" si="21"/>
        <v>3228.0512820512822</v>
      </c>
      <c r="H55" s="455">
        <f t="shared" si="22"/>
        <v>3228.0512820512822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6"/>
        <v/>
      </c>
      <c r="C56" s="472">
        <f>IF(D11="","-",+C55+1)</f>
        <v>2049</v>
      </c>
      <c r="D56" s="485">
        <f>IF(F55+SUM(E$17:E55)=D$10,F55,D$10-SUM(E$17:E55))</f>
        <v>6297.5995152923706</v>
      </c>
      <c r="E56" s="484">
        <f>IF(+I14&lt;F55,I14,D56)</f>
        <v>2476.0512820512822</v>
      </c>
      <c r="F56" s="485">
        <f t="shared" si="23"/>
        <v>3821.5482332410884</v>
      </c>
      <c r="G56" s="486">
        <f t="shared" si="21"/>
        <v>2932.0512820512822</v>
      </c>
      <c r="H56" s="455">
        <f t="shared" si="22"/>
        <v>2932.0512820512822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6"/>
        <v/>
      </c>
      <c r="C57" s="472">
        <f>IF(D11="","-",+C56+1)</f>
        <v>2050</v>
      </c>
      <c r="D57" s="485">
        <f>IF(F56+SUM(E$17:E56)=D$10,F56,D$10-SUM(E$17:E56))</f>
        <v>3821.5482332410884</v>
      </c>
      <c r="E57" s="484">
        <f>IF(+I14&lt;F56,I14,D57)</f>
        <v>2476.0512820512822</v>
      </c>
      <c r="F57" s="485">
        <f t="shared" si="23"/>
        <v>1345.4969511898062</v>
      </c>
      <c r="G57" s="486">
        <f t="shared" si="21"/>
        <v>2637.0512820512822</v>
      </c>
      <c r="H57" s="455">
        <f t="shared" si="22"/>
        <v>2637.0512820512822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6"/>
        <v/>
      </c>
      <c r="C58" s="472">
        <f>IF(D11="","-",+C57+1)</f>
        <v>2051</v>
      </c>
      <c r="D58" s="485">
        <f>IF(F57+SUM(E$17:E57)=D$10,F57,D$10-SUM(E$17:E57))</f>
        <v>1345.4969511898062</v>
      </c>
      <c r="E58" s="484">
        <f>IF(+I14&lt;F57,I14,D58)</f>
        <v>1345.4969511898062</v>
      </c>
      <c r="F58" s="485">
        <f t="shared" si="23"/>
        <v>0</v>
      </c>
      <c r="G58" s="486">
        <f t="shared" si="21"/>
        <v>1345.4969511898062</v>
      </c>
      <c r="H58" s="455">
        <f t="shared" si="22"/>
        <v>1345.4969511898062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6"/>
        <v/>
      </c>
      <c r="C59" s="472">
        <f>IF(D11="","-",+C58+1)</f>
        <v>2052</v>
      </c>
      <c r="D59" s="485">
        <f>IF(F58+SUM(E$17:E58)=D$10,F58,D$10-SUM(E$17:E58))</f>
        <v>0</v>
      </c>
      <c r="E59" s="484">
        <f>IF(+I14&lt;F58,I14,D59)</f>
        <v>0</v>
      </c>
      <c r="F59" s="485">
        <f t="shared" si="23"/>
        <v>0</v>
      </c>
      <c r="G59" s="486">
        <f t="shared" si="21"/>
        <v>0</v>
      </c>
      <c r="H59" s="455">
        <f t="shared" si="22"/>
        <v>0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6"/>
        <v/>
      </c>
      <c r="C60" s="472">
        <f>IF(D11="","-",+C59+1)</f>
        <v>2053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6"/>
        <v/>
      </c>
      <c r="C61" s="472">
        <f>IF(D11="","-",+C60+1)</f>
        <v>2054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6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160" t="str">
        <f t="shared" si="6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6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2:16" ht="12.5">
      <c r="B65" s="565" t="str">
        <f t="shared" si="6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2:16" ht="12.5">
      <c r="B66" s="160" t="str">
        <f t="shared" si="6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2:16" ht="12.5">
      <c r="B67" s="160" t="str">
        <f t="shared" si="6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2:16" ht="12.5">
      <c r="B68" s="160" t="str">
        <f t="shared" si="6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2:16" ht="12.5">
      <c r="B69" s="160" t="str">
        <f t="shared" si="6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2:16" ht="12.5">
      <c r="B70" s="160" t="str">
        <f t="shared" si="6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2:16" ht="12.5">
      <c r="B71" s="160" t="str">
        <f t="shared" si="6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2:16" ht="12.5">
      <c r="C73" s="346" t="s">
        <v>77</v>
      </c>
      <c r="D73" s="347"/>
      <c r="E73" s="347">
        <f>SUM(E17:E72)</f>
        <v>96566</v>
      </c>
      <c r="F73" s="347"/>
      <c r="G73" s="347">
        <f>SUM(G17:G72)</f>
        <v>360043.73711587192</v>
      </c>
      <c r="H73" s="347">
        <f>SUM(H17:H72)</f>
        <v>360043.73711587192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10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10113.720930232557</v>
      </c>
      <c r="N87" s="508">
        <f>IF(J92&lt;D11,0,VLOOKUP(J92,C17:O72,11))</f>
        <v>10113.720930232557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10788.411477147845</v>
      </c>
      <c r="N88" s="512">
        <f>IF(J92&lt;D11,0,VLOOKUP(J92,C99:P154,7))</f>
        <v>10788.411477147845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Wavetrap Clinton City-Foss Tap 69kV Ckt 1*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674.690546915288</v>
      </c>
      <c r="N89" s="517">
        <f>+N88-N87</f>
        <v>674.690546915288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TP2009011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96566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2355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2010</v>
      </c>
      <c r="D99" s="473">
        <v>0</v>
      </c>
      <c r="E99" s="480">
        <v>946.5</v>
      </c>
      <c r="F99" s="479">
        <v>95619.5</v>
      </c>
      <c r="G99" s="537">
        <v>47809.75</v>
      </c>
      <c r="H99" s="538">
        <v>8635.0355480484341</v>
      </c>
      <c r="I99" s="539">
        <v>8635.0355480484341</v>
      </c>
      <c r="J99" s="478">
        <f t="shared" ref="J99:J130" si="28">+I99-H99</f>
        <v>0</v>
      </c>
      <c r="K99" s="478"/>
      <c r="L99" s="567">
        <f t="shared" ref="L99:L104" si="29">H99</f>
        <v>8635.0355480484341</v>
      </c>
      <c r="M99" s="568">
        <f t="shared" ref="M99:M130" si="30">IF(L99&lt;&gt;0,+H99-L99,0)</f>
        <v>0</v>
      </c>
      <c r="N99" s="567">
        <f t="shared" ref="N99:N104" si="31">I99</f>
        <v>8635.0355480484341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 ht="12.5">
      <c r="B100" s="160" t="str">
        <f>IF(D100=F99,"","IU")</f>
        <v/>
      </c>
      <c r="C100" s="472">
        <f>IF(D93="","-",+C99+1)</f>
        <v>2011</v>
      </c>
      <c r="D100" s="473">
        <v>95619.5</v>
      </c>
      <c r="E100" s="480">
        <v>1857</v>
      </c>
      <c r="F100" s="479">
        <v>93762.5</v>
      </c>
      <c r="G100" s="479">
        <v>94691</v>
      </c>
      <c r="H100" s="480">
        <v>15096.07425133265</v>
      </c>
      <c r="I100" s="481">
        <v>15096.07425133265</v>
      </c>
      <c r="J100" s="478">
        <f t="shared" si="28"/>
        <v>0</v>
      </c>
      <c r="K100" s="478"/>
      <c r="L100" s="540">
        <f t="shared" si="29"/>
        <v>15096.07425133265</v>
      </c>
      <c r="M100" s="541">
        <f t="shared" si="30"/>
        <v>0</v>
      </c>
      <c r="N100" s="540">
        <f t="shared" si="31"/>
        <v>15096.07425133265</v>
      </c>
      <c r="O100" s="478">
        <f t="shared" si="32"/>
        <v>0</v>
      </c>
      <c r="P100" s="478">
        <f t="shared" si="33"/>
        <v>0</v>
      </c>
    </row>
    <row r="101" spans="1:16" ht="12.5">
      <c r="B101" s="160" t="str">
        <f t="shared" ref="B101:B154" si="34">IF(D101=F100,"","IU")</f>
        <v/>
      </c>
      <c r="C101" s="472">
        <f>IF(D93="","-",+C100+1)</f>
        <v>2012</v>
      </c>
      <c r="D101" s="473">
        <v>93762.5</v>
      </c>
      <c r="E101" s="480">
        <v>1857</v>
      </c>
      <c r="F101" s="479">
        <v>91905.5</v>
      </c>
      <c r="G101" s="479">
        <v>92834</v>
      </c>
      <c r="H101" s="480">
        <v>15211.679797187964</v>
      </c>
      <c r="I101" s="481">
        <v>15211.679797187964</v>
      </c>
      <c r="J101" s="478">
        <v>0</v>
      </c>
      <c r="K101" s="478"/>
      <c r="L101" s="540">
        <f t="shared" si="29"/>
        <v>15211.679797187964</v>
      </c>
      <c r="M101" s="541">
        <f t="shared" ref="M101:M106" si="35">IF(L101&lt;&gt;0,+H101-L101,0)</f>
        <v>0</v>
      </c>
      <c r="N101" s="540">
        <f t="shared" si="31"/>
        <v>15211.679797187964</v>
      </c>
      <c r="O101" s="478">
        <f t="shared" ref="O101:O106" si="36">IF(N101&lt;&gt;0,+I101-N101,0)</f>
        <v>0</v>
      </c>
      <c r="P101" s="478">
        <f t="shared" ref="P101:P106" si="37">+O101-M101</f>
        <v>0</v>
      </c>
    </row>
    <row r="102" spans="1:16" ht="12.5">
      <c r="B102" s="160" t="str">
        <f t="shared" si="34"/>
        <v/>
      </c>
      <c r="C102" s="472">
        <f>IF(D93="","-",+C101+1)</f>
        <v>2013</v>
      </c>
      <c r="D102" s="473">
        <v>91905.5</v>
      </c>
      <c r="E102" s="480">
        <v>1857</v>
      </c>
      <c r="F102" s="479">
        <v>90048.5</v>
      </c>
      <c r="G102" s="479">
        <v>90977</v>
      </c>
      <c r="H102" s="480">
        <v>14952.192437840908</v>
      </c>
      <c r="I102" s="481">
        <v>14952.192437840908</v>
      </c>
      <c r="J102" s="478">
        <v>0</v>
      </c>
      <c r="K102" s="478"/>
      <c r="L102" s="540">
        <f t="shared" si="29"/>
        <v>14952.192437840908</v>
      </c>
      <c r="M102" s="541">
        <f t="shared" si="35"/>
        <v>0</v>
      </c>
      <c r="N102" s="540">
        <f t="shared" si="31"/>
        <v>14952.192437840908</v>
      </c>
      <c r="O102" s="478">
        <f t="shared" si="36"/>
        <v>0</v>
      </c>
      <c r="P102" s="478">
        <f t="shared" si="37"/>
        <v>0</v>
      </c>
    </row>
    <row r="103" spans="1:16" ht="12.5">
      <c r="B103" s="160" t="str">
        <f t="shared" si="34"/>
        <v/>
      </c>
      <c r="C103" s="472">
        <f>IF(D93="","-",+C102+1)</f>
        <v>2014</v>
      </c>
      <c r="D103" s="473">
        <v>90048.5</v>
      </c>
      <c r="E103" s="480">
        <v>1857</v>
      </c>
      <c r="F103" s="479">
        <v>88191.5</v>
      </c>
      <c r="G103" s="479">
        <v>89120</v>
      </c>
      <c r="H103" s="480">
        <v>14386.907699066522</v>
      </c>
      <c r="I103" s="481">
        <v>14386.907699066522</v>
      </c>
      <c r="J103" s="478">
        <v>0</v>
      </c>
      <c r="K103" s="478"/>
      <c r="L103" s="540">
        <f t="shared" si="29"/>
        <v>14386.907699066522</v>
      </c>
      <c r="M103" s="541">
        <f t="shared" si="35"/>
        <v>0</v>
      </c>
      <c r="N103" s="540">
        <f t="shared" si="31"/>
        <v>14386.907699066522</v>
      </c>
      <c r="O103" s="478">
        <f t="shared" si="36"/>
        <v>0</v>
      </c>
      <c r="P103" s="478">
        <f t="shared" si="37"/>
        <v>0</v>
      </c>
    </row>
    <row r="104" spans="1:16" ht="12.5">
      <c r="B104" s="160" t="str">
        <f t="shared" si="34"/>
        <v/>
      </c>
      <c r="C104" s="472">
        <f>IF(D93="","-",+C103+1)</f>
        <v>2015</v>
      </c>
      <c r="D104" s="473">
        <v>88191.5</v>
      </c>
      <c r="E104" s="480">
        <v>1857</v>
      </c>
      <c r="F104" s="479">
        <v>86334.5</v>
      </c>
      <c r="G104" s="479">
        <v>87263</v>
      </c>
      <c r="H104" s="480">
        <v>13763.334720904193</v>
      </c>
      <c r="I104" s="481">
        <v>13763.334720904193</v>
      </c>
      <c r="J104" s="478">
        <f t="shared" si="28"/>
        <v>0</v>
      </c>
      <c r="K104" s="478"/>
      <c r="L104" s="540">
        <f t="shared" si="29"/>
        <v>13763.334720904193</v>
      </c>
      <c r="M104" s="541">
        <f t="shared" si="35"/>
        <v>0</v>
      </c>
      <c r="N104" s="540">
        <f t="shared" si="31"/>
        <v>13763.334720904193</v>
      </c>
      <c r="O104" s="478">
        <f t="shared" si="36"/>
        <v>0</v>
      </c>
      <c r="P104" s="478">
        <f t="shared" si="37"/>
        <v>0</v>
      </c>
    </row>
    <row r="105" spans="1:16" ht="12.5">
      <c r="B105" s="160" t="str">
        <f t="shared" si="34"/>
        <v/>
      </c>
      <c r="C105" s="472">
        <f>IF(D93="","-",+C104+1)</f>
        <v>2016</v>
      </c>
      <c r="D105" s="473">
        <v>86334.5</v>
      </c>
      <c r="E105" s="480">
        <v>2099</v>
      </c>
      <c r="F105" s="479">
        <v>84235.5</v>
      </c>
      <c r="G105" s="479">
        <v>85285</v>
      </c>
      <c r="H105" s="480">
        <v>13093.579642748955</v>
      </c>
      <c r="I105" s="481">
        <v>13093.579642748955</v>
      </c>
      <c r="J105" s="478">
        <f t="shared" si="28"/>
        <v>0</v>
      </c>
      <c r="K105" s="478"/>
      <c r="L105" s="540">
        <f>H105</f>
        <v>13093.579642748955</v>
      </c>
      <c r="M105" s="541">
        <f t="shared" si="35"/>
        <v>0</v>
      </c>
      <c r="N105" s="540">
        <f>I105</f>
        <v>13093.579642748955</v>
      </c>
      <c r="O105" s="478">
        <f t="shared" si="36"/>
        <v>0</v>
      </c>
      <c r="P105" s="478">
        <f t="shared" si="37"/>
        <v>0</v>
      </c>
    </row>
    <row r="106" spans="1:16" ht="12.5">
      <c r="B106" s="160" t="str">
        <f t="shared" si="34"/>
        <v/>
      </c>
      <c r="C106" s="472">
        <f>IF(D93="","-",+C105+1)</f>
        <v>2017</v>
      </c>
      <c r="D106" s="473">
        <v>84235.5</v>
      </c>
      <c r="E106" s="480">
        <v>2099</v>
      </c>
      <c r="F106" s="479">
        <v>82136.5</v>
      </c>
      <c r="G106" s="479">
        <v>83186</v>
      </c>
      <c r="H106" s="480">
        <v>12651.353853573521</v>
      </c>
      <c r="I106" s="481">
        <v>12651.353853573521</v>
      </c>
      <c r="J106" s="478">
        <f t="shared" si="28"/>
        <v>0</v>
      </c>
      <c r="K106" s="478"/>
      <c r="L106" s="540">
        <f>H106</f>
        <v>12651.353853573521</v>
      </c>
      <c r="M106" s="541">
        <f t="shared" si="35"/>
        <v>0</v>
      </c>
      <c r="N106" s="540">
        <f>I106</f>
        <v>12651.353853573521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4"/>
        <v/>
      </c>
      <c r="C107" s="472">
        <f>IF(D93="","-",+C106+1)</f>
        <v>2018</v>
      </c>
      <c r="D107" s="473">
        <v>82136.5</v>
      </c>
      <c r="E107" s="480">
        <v>2246</v>
      </c>
      <c r="F107" s="479">
        <v>79890.5</v>
      </c>
      <c r="G107" s="479">
        <v>81013.5</v>
      </c>
      <c r="H107" s="480">
        <v>10568.967843132519</v>
      </c>
      <c r="I107" s="481">
        <v>10568.967843132519</v>
      </c>
      <c r="J107" s="478">
        <f t="shared" si="28"/>
        <v>0</v>
      </c>
      <c r="K107" s="478"/>
      <c r="L107" s="540">
        <f>H107</f>
        <v>10568.967843132519</v>
      </c>
      <c r="M107" s="541">
        <f t="shared" ref="M107" si="38">IF(L107&lt;&gt;0,+H107-L107,0)</f>
        <v>0</v>
      </c>
      <c r="N107" s="540">
        <f>I107</f>
        <v>10568.967843132519</v>
      </c>
      <c r="O107" s="478">
        <f t="shared" ref="O107" si="39">IF(N107&lt;&gt;0,+I107-N107,0)</f>
        <v>0</v>
      </c>
      <c r="P107" s="478">
        <f t="shared" ref="P107" si="40">+O107-M107</f>
        <v>0</v>
      </c>
    </row>
    <row r="108" spans="1:16" ht="12.5">
      <c r="B108" s="160" t="str">
        <f t="shared" si="34"/>
        <v/>
      </c>
      <c r="C108" s="472">
        <f>IF(D93="","-",+C107+1)</f>
        <v>2019</v>
      </c>
      <c r="D108" s="473">
        <v>79890.5</v>
      </c>
      <c r="E108" s="480">
        <v>2355</v>
      </c>
      <c r="F108" s="479">
        <v>77535.5</v>
      </c>
      <c r="G108" s="479">
        <v>78713</v>
      </c>
      <c r="H108" s="480">
        <v>10471.414334884656</v>
      </c>
      <c r="I108" s="481">
        <v>10471.414334884656</v>
      </c>
      <c r="J108" s="478">
        <f t="shared" si="28"/>
        <v>0</v>
      </c>
      <c r="K108" s="478"/>
      <c r="L108" s="540">
        <f>H108</f>
        <v>10471.414334884656</v>
      </c>
      <c r="M108" s="541">
        <f t="shared" ref="M108:M109" si="41">IF(L108&lt;&gt;0,+H108-L108,0)</f>
        <v>0</v>
      </c>
      <c r="N108" s="540">
        <f>I108</f>
        <v>10471.414334884656</v>
      </c>
      <c r="O108" s="478">
        <f t="shared" si="32"/>
        <v>0</v>
      </c>
      <c r="P108" s="478">
        <f t="shared" si="33"/>
        <v>0</v>
      </c>
    </row>
    <row r="109" spans="1:16" ht="12.5">
      <c r="B109" s="160" t="str">
        <f t="shared" si="34"/>
        <v/>
      </c>
      <c r="C109" s="472">
        <f>IF(D93="","-",+C108+1)</f>
        <v>2020</v>
      </c>
      <c r="D109" s="473">
        <v>77535.5</v>
      </c>
      <c r="E109" s="480">
        <v>2246</v>
      </c>
      <c r="F109" s="479">
        <v>75289.5</v>
      </c>
      <c r="G109" s="479">
        <v>76412.5</v>
      </c>
      <c r="H109" s="480">
        <v>11056.151171153304</v>
      </c>
      <c r="I109" s="481">
        <v>11056.151171153304</v>
      </c>
      <c r="J109" s="478">
        <f t="shared" si="28"/>
        <v>0</v>
      </c>
      <c r="K109" s="478"/>
      <c r="L109" s="540">
        <f>H109</f>
        <v>11056.151171153304</v>
      </c>
      <c r="M109" s="541">
        <f t="shared" si="41"/>
        <v>0</v>
      </c>
      <c r="N109" s="540">
        <f>I109</f>
        <v>11056.151171153304</v>
      </c>
      <c r="O109" s="478">
        <f t="shared" si="32"/>
        <v>0</v>
      </c>
      <c r="P109" s="478">
        <f t="shared" si="33"/>
        <v>0</v>
      </c>
    </row>
    <row r="110" spans="1:16" ht="12.5">
      <c r="B110" s="160" t="str">
        <f t="shared" si="34"/>
        <v/>
      </c>
      <c r="C110" s="472">
        <f>IF(D93="","-",+C109+1)</f>
        <v>2021</v>
      </c>
      <c r="D110" s="346">
        <f>IF(F109+SUM(E$99:E109)=D$92,F109,D$92-SUM(E$99:E109))</f>
        <v>75289.5</v>
      </c>
      <c r="E110" s="486">
        <f>IF(+J96&lt;F109,J96,D110)</f>
        <v>2355</v>
      </c>
      <c r="F110" s="485">
        <f t="shared" ref="F110:F129" si="42">+D110-E110</f>
        <v>72934.5</v>
      </c>
      <c r="G110" s="485">
        <f t="shared" ref="G110:G129" si="43">+(F110+D110)/2</f>
        <v>74112</v>
      </c>
      <c r="H110" s="488">
        <f t="shared" ref="H110:H130" si="44">+J$94*G110+E110</f>
        <v>10788.411477147845</v>
      </c>
      <c r="I110" s="542">
        <f t="shared" ref="I110:I130" si="45">+J$95*G110+E110</f>
        <v>10788.411477147845</v>
      </c>
      <c r="J110" s="478">
        <f t="shared" si="28"/>
        <v>0</v>
      </c>
      <c r="K110" s="478"/>
      <c r="L110" s="487"/>
      <c r="M110" s="478">
        <f t="shared" si="30"/>
        <v>0</v>
      </c>
      <c r="N110" s="487"/>
      <c r="O110" s="478">
        <f t="shared" si="32"/>
        <v>0</v>
      </c>
      <c r="P110" s="478">
        <f t="shared" si="33"/>
        <v>0</v>
      </c>
    </row>
    <row r="111" spans="1:16" ht="12.5">
      <c r="B111" s="160" t="str">
        <f t="shared" si="34"/>
        <v/>
      </c>
      <c r="C111" s="472">
        <f>IF(D93="","-",+C110+1)</f>
        <v>2022</v>
      </c>
      <c r="D111" s="346">
        <f>IF(F110+SUM(E$99:E110)=D$92,F110,D$92-SUM(E$99:E110))</f>
        <v>72934.5</v>
      </c>
      <c r="E111" s="486">
        <f>IF(+J96&lt;F110,J96,D111)</f>
        <v>2355</v>
      </c>
      <c r="F111" s="485">
        <f t="shared" si="42"/>
        <v>70579.5</v>
      </c>
      <c r="G111" s="485">
        <f t="shared" si="43"/>
        <v>71757</v>
      </c>
      <c r="H111" s="488">
        <f t="shared" si="44"/>
        <v>10520.429449558749</v>
      </c>
      <c r="I111" s="542">
        <f t="shared" si="45"/>
        <v>10520.429449558749</v>
      </c>
      <c r="J111" s="478">
        <f t="shared" si="28"/>
        <v>0</v>
      </c>
      <c r="K111" s="478"/>
      <c r="L111" s="487"/>
      <c r="M111" s="478">
        <f t="shared" si="30"/>
        <v>0</v>
      </c>
      <c r="N111" s="487"/>
      <c r="O111" s="478">
        <f t="shared" si="32"/>
        <v>0</v>
      </c>
      <c r="P111" s="478">
        <f t="shared" si="33"/>
        <v>0</v>
      </c>
    </row>
    <row r="112" spans="1:16" ht="12.5">
      <c r="B112" s="160" t="str">
        <f t="shared" si="34"/>
        <v/>
      </c>
      <c r="C112" s="472">
        <f>IF(D93="","-",+C111+1)</f>
        <v>2023</v>
      </c>
      <c r="D112" s="346">
        <f>IF(F111+SUM(E$99:E111)=D$92,F111,D$92-SUM(E$99:E111))</f>
        <v>70579.5</v>
      </c>
      <c r="E112" s="486">
        <f>IF(+J96&lt;F111,J96,D112)</f>
        <v>2355</v>
      </c>
      <c r="F112" s="485">
        <f t="shared" si="42"/>
        <v>68224.5</v>
      </c>
      <c r="G112" s="485">
        <f t="shared" si="43"/>
        <v>69402</v>
      </c>
      <c r="H112" s="488">
        <f t="shared" si="44"/>
        <v>10252.447421969651</v>
      </c>
      <c r="I112" s="542">
        <f t="shared" si="45"/>
        <v>10252.447421969651</v>
      </c>
      <c r="J112" s="478">
        <f t="shared" si="28"/>
        <v>0</v>
      </c>
      <c r="K112" s="478"/>
      <c r="L112" s="487"/>
      <c r="M112" s="478">
        <f t="shared" si="30"/>
        <v>0</v>
      </c>
      <c r="N112" s="487"/>
      <c r="O112" s="478">
        <f t="shared" si="32"/>
        <v>0</v>
      </c>
      <c r="P112" s="478">
        <f t="shared" si="33"/>
        <v>0</v>
      </c>
    </row>
    <row r="113" spans="2:16" ht="12.5">
      <c r="B113" s="160" t="str">
        <f t="shared" si="34"/>
        <v/>
      </c>
      <c r="C113" s="472">
        <f>IF(D93="","-",+C112+1)</f>
        <v>2024</v>
      </c>
      <c r="D113" s="346">
        <f>IF(F112+SUM(E$99:E112)=D$92,F112,D$92-SUM(E$99:E112))</f>
        <v>68224.5</v>
      </c>
      <c r="E113" s="486">
        <f>IF(+J96&lt;F112,J96,D113)</f>
        <v>2355</v>
      </c>
      <c r="F113" s="485">
        <f t="shared" si="42"/>
        <v>65869.5</v>
      </c>
      <c r="G113" s="485">
        <f t="shared" si="43"/>
        <v>67047</v>
      </c>
      <c r="H113" s="488">
        <f t="shared" si="44"/>
        <v>9984.4653943805533</v>
      </c>
      <c r="I113" s="542">
        <f t="shared" si="45"/>
        <v>9984.4653943805533</v>
      </c>
      <c r="J113" s="478">
        <f t="shared" si="28"/>
        <v>0</v>
      </c>
      <c r="K113" s="478"/>
      <c r="L113" s="487"/>
      <c r="M113" s="478">
        <f t="shared" si="30"/>
        <v>0</v>
      </c>
      <c r="N113" s="487"/>
      <c r="O113" s="478">
        <f t="shared" si="32"/>
        <v>0</v>
      </c>
      <c r="P113" s="478">
        <f t="shared" si="33"/>
        <v>0</v>
      </c>
    </row>
    <row r="114" spans="2:16" ht="12.5">
      <c r="B114" s="160" t="str">
        <f t="shared" si="34"/>
        <v/>
      </c>
      <c r="C114" s="472">
        <f>IF(D93="","-",+C113+1)</f>
        <v>2025</v>
      </c>
      <c r="D114" s="346">
        <f>IF(F113+SUM(E$99:E113)=D$92,F113,D$92-SUM(E$99:E113))</f>
        <v>65869.5</v>
      </c>
      <c r="E114" s="486">
        <f>IF(+J96&lt;F113,J96,D114)</f>
        <v>2355</v>
      </c>
      <c r="F114" s="485">
        <f t="shared" si="42"/>
        <v>63514.5</v>
      </c>
      <c r="G114" s="485">
        <f t="shared" si="43"/>
        <v>64692</v>
      </c>
      <c r="H114" s="488">
        <f t="shared" si="44"/>
        <v>9716.4833667914572</v>
      </c>
      <c r="I114" s="542">
        <f t="shared" si="45"/>
        <v>9716.4833667914572</v>
      </c>
      <c r="J114" s="478">
        <f t="shared" si="28"/>
        <v>0</v>
      </c>
      <c r="K114" s="478"/>
      <c r="L114" s="487"/>
      <c r="M114" s="478">
        <f t="shared" si="30"/>
        <v>0</v>
      </c>
      <c r="N114" s="487"/>
      <c r="O114" s="478">
        <f t="shared" si="32"/>
        <v>0</v>
      </c>
      <c r="P114" s="478">
        <f t="shared" si="33"/>
        <v>0</v>
      </c>
    </row>
    <row r="115" spans="2:16" ht="12.5">
      <c r="B115" s="160" t="str">
        <f t="shared" si="34"/>
        <v/>
      </c>
      <c r="C115" s="472">
        <f>IF(D93="","-",+C114+1)</f>
        <v>2026</v>
      </c>
      <c r="D115" s="346">
        <f>IF(F114+SUM(E$99:E114)=D$92,F114,D$92-SUM(E$99:E114))</f>
        <v>63514.5</v>
      </c>
      <c r="E115" s="486">
        <f>IF(+J96&lt;F114,J96,D115)</f>
        <v>2355</v>
      </c>
      <c r="F115" s="485">
        <f t="shared" si="42"/>
        <v>61159.5</v>
      </c>
      <c r="G115" s="485">
        <f t="shared" si="43"/>
        <v>62337</v>
      </c>
      <c r="H115" s="488">
        <f t="shared" si="44"/>
        <v>9448.5013392023593</v>
      </c>
      <c r="I115" s="542">
        <f t="shared" si="45"/>
        <v>9448.5013392023593</v>
      </c>
      <c r="J115" s="478">
        <f t="shared" si="28"/>
        <v>0</v>
      </c>
      <c r="K115" s="478"/>
      <c r="L115" s="487"/>
      <c r="M115" s="478">
        <f t="shared" si="30"/>
        <v>0</v>
      </c>
      <c r="N115" s="487"/>
      <c r="O115" s="478">
        <f t="shared" si="32"/>
        <v>0</v>
      </c>
      <c r="P115" s="478">
        <f t="shared" si="33"/>
        <v>0</v>
      </c>
    </row>
    <row r="116" spans="2:16" ht="12.5">
      <c r="B116" s="160" t="str">
        <f t="shared" si="34"/>
        <v/>
      </c>
      <c r="C116" s="472">
        <f>IF(D93="","-",+C115+1)</f>
        <v>2027</v>
      </c>
      <c r="D116" s="346">
        <f>IF(F115+SUM(E$99:E115)=D$92,F115,D$92-SUM(E$99:E115))</f>
        <v>61159.5</v>
      </c>
      <c r="E116" s="486">
        <f>IF(+J96&lt;F115,J96,D116)</f>
        <v>2355</v>
      </c>
      <c r="F116" s="485">
        <f t="shared" si="42"/>
        <v>58804.5</v>
      </c>
      <c r="G116" s="485">
        <f t="shared" si="43"/>
        <v>59982</v>
      </c>
      <c r="H116" s="488">
        <f t="shared" si="44"/>
        <v>9180.5193116132614</v>
      </c>
      <c r="I116" s="542">
        <f t="shared" si="45"/>
        <v>9180.5193116132614</v>
      </c>
      <c r="J116" s="478">
        <f t="shared" si="28"/>
        <v>0</v>
      </c>
      <c r="K116" s="478"/>
      <c r="L116" s="487"/>
      <c r="M116" s="478">
        <f t="shared" si="30"/>
        <v>0</v>
      </c>
      <c r="N116" s="487"/>
      <c r="O116" s="478">
        <f t="shared" si="32"/>
        <v>0</v>
      </c>
      <c r="P116" s="478">
        <f t="shared" si="33"/>
        <v>0</v>
      </c>
    </row>
    <row r="117" spans="2:16" ht="12.5">
      <c r="B117" s="160" t="str">
        <f t="shared" si="34"/>
        <v/>
      </c>
      <c r="C117" s="472">
        <f>IF(D93="","-",+C116+1)</f>
        <v>2028</v>
      </c>
      <c r="D117" s="346">
        <f>IF(F116+SUM(E$99:E116)=D$92,F116,D$92-SUM(E$99:E116))</f>
        <v>58804.5</v>
      </c>
      <c r="E117" s="486">
        <f>IF(+J96&lt;F116,J96,D117)</f>
        <v>2355</v>
      </c>
      <c r="F117" s="485">
        <f t="shared" si="42"/>
        <v>56449.5</v>
      </c>
      <c r="G117" s="485">
        <f t="shared" si="43"/>
        <v>57627</v>
      </c>
      <c r="H117" s="488">
        <f t="shared" si="44"/>
        <v>8912.5372840241653</v>
      </c>
      <c r="I117" s="542">
        <f t="shared" si="45"/>
        <v>8912.5372840241653</v>
      </c>
      <c r="J117" s="478">
        <f t="shared" si="28"/>
        <v>0</v>
      </c>
      <c r="K117" s="478"/>
      <c r="L117" s="487"/>
      <c r="M117" s="478">
        <f t="shared" si="30"/>
        <v>0</v>
      </c>
      <c r="N117" s="487"/>
      <c r="O117" s="478">
        <f t="shared" si="32"/>
        <v>0</v>
      </c>
      <c r="P117" s="478">
        <f t="shared" si="33"/>
        <v>0</v>
      </c>
    </row>
    <row r="118" spans="2:16" ht="12.5">
      <c r="B118" s="160" t="str">
        <f t="shared" si="34"/>
        <v/>
      </c>
      <c r="C118" s="472">
        <f>IF(D93="","-",+C117+1)</f>
        <v>2029</v>
      </c>
      <c r="D118" s="346">
        <f>IF(F117+SUM(E$99:E117)=D$92,F117,D$92-SUM(E$99:E117))</f>
        <v>56449.5</v>
      </c>
      <c r="E118" s="486">
        <f>IF(+J96&lt;F117,J96,D118)</f>
        <v>2355</v>
      </c>
      <c r="F118" s="485">
        <f t="shared" si="42"/>
        <v>54094.5</v>
      </c>
      <c r="G118" s="485">
        <f t="shared" si="43"/>
        <v>55272</v>
      </c>
      <c r="H118" s="488">
        <f t="shared" si="44"/>
        <v>8644.5552564350673</v>
      </c>
      <c r="I118" s="542">
        <f t="shared" si="45"/>
        <v>8644.5552564350673</v>
      </c>
      <c r="J118" s="478">
        <f t="shared" si="28"/>
        <v>0</v>
      </c>
      <c r="K118" s="478"/>
      <c r="L118" s="487"/>
      <c r="M118" s="478">
        <f t="shared" si="30"/>
        <v>0</v>
      </c>
      <c r="N118" s="487"/>
      <c r="O118" s="478">
        <f t="shared" si="32"/>
        <v>0</v>
      </c>
      <c r="P118" s="478">
        <f t="shared" si="33"/>
        <v>0</v>
      </c>
    </row>
    <row r="119" spans="2:16" ht="12.5">
      <c r="B119" s="160" t="str">
        <f t="shared" si="34"/>
        <v/>
      </c>
      <c r="C119" s="472">
        <f>IF(D93="","-",+C118+1)</f>
        <v>2030</v>
      </c>
      <c r="D119" s="346">
        <f>IF(F118+SUM(E$99:E118)=D$92,F118,D$92-SUM(E$99:E118))</f>
        <v>54094.5</v>
      </c>
      <c r="E119" s="486">
        <f>IF(+J96&lt;F118,J96,D119)</f>
        <v>2355</v>
      </c>
      <c r="F119" s="485">
        <f t="shared" si="42"/>
        <v>51739.5</v>
      </c>
      <c r="G119" s="485">
        <f t="shared" si="43"/>
        <v>52917</v>
      </c>
      <c r="H119" s="488">
        <f t="shared" si="44"/>
        <v>8376.5732288459694</v>
      </c>
      <c r="I119" s="542">
        <f t="shared" si="45"/>
        <v>8376.5732288459694</v>
      </c>
      <c r="J119" s="478">
        <f t="shared" si="28"/>
        <v>0</v>
      </c>
      <c r="K119" s="478"/>
      <c r="L119" s="487"/>
      <c r="M119" s="478">
        <f t="shared" si="30"/>
        <v>0</v>
      </c>
      <c r="N119" s="487"/>
      <c r="O119" s="478">
        <f t="shared" si="32"/>
        <v>0</v>
      </c>
      <c r="P119" s="478">
        <f t="shared" si="33"/>
        <v>0</v>
      </c>
    </row>
    <row r="120" spans="2:16" ht="12.5">
      <c r="B120" s="160" t="str">
        <f t="shared" si="34"/>
        <v/>
      </c>
      <c r="C120" s="472">
        <f>IF(D93="","-",+C119+1)</f>
        <v>2031</v>
      </c>
      <c r="D120" s="346">
        <f>IF(F119+SUM(E$99:E119)=D$92,F119,D$92-SUM(E$99:E119))</f>
        <v>51739.5</v>
      </c>
      <c r="E120" s="486">
        <f>IF(+J96&lt;F119,J96,D120)</f>
        <v>2355</v>
      </c>
      <c r="F120" s="485">
        <f t="shared" si="42"/>
        <v>49384.5</v>
      </c>
      <c r="G120" s="485">
        <f t="shared" si="43"/>
        <v>50562</v>
      </c>
      <c r="H120" s="488">
        <f t="shared" si="44"/>
        <v>8108.5912012568733</v>
      </c>
      <c r="I120" s="542">
        <f t="shared" si="45"/>
        <v>8108.5912012568733</v>
      </c>
      <c r="J120" s="478">
        <f t="shared" si="28"/>
        <v>0</v>
      </c>
      <c r="K120" s="478"/>
      <c r="L120" s="487"/>
      <c r="M120" s="478">
        <f t="shared" si="30"/>
        <v>0</v>
      </c>
      <c r="N120" s="487"/>
      <c r="O120" s="478">
        <f t="shared" si="32"/>
        <v>0</v>
      </c>
      <c r="P120" s="478">
        <f t="shared" si="33"/>
        <v>0</v>
      </c>
    </row>
    <row r="121" spans="2:16" ht="12.5">
      <c r="B121" s="160" t="str">
        <f t="shared" si="34"/>
        <v/>
      </c>
      <c r="C121" s="472">
        <f>IF(D93="","-",+C120+1)</f>
        <v>2032</v>
      </c>
      <c r="D121" s="346">
        <f>IF(F120+SUM(E$99:E120)=D$92,F120,D$92-SUM(E$99:E120))</f>
        <v>49384.5</v>
      </c>
      <c r="E121" s="486">
        <f>IF(+J96&lt;F120,J96,D121)</f>
        <v>2355</v>
      </c>
      <c r="F121" s="485">
        <f t="shared" si="42"/>
        <v>47029.5</v>
      </c>
      <c r="G121" s="485">
        <f t="shared" si="43"/>
        <v>48207</v>
      </c>
      <c r="H121" s="488">
        <f t="shared" si="44"/>
        <v>7840.6091736677754</v>
      </c>
      <c r="I121" s="542">
        <f t="shared" si="45"/>
        <v>7840.6091736677754</v>
      </c>
      <c r="J121" s="478">
        <f t="shared" si="28"/>
        <v>0</v>
      </c>
      <c r="K121" s="478"/>
      <c r="L121" s="487"/>
      <c r="M121" s="478">
        <f t="shared" si="30"/>
        <v>0</v>
      </c>
      <c r="N121" s="487"/>
      <c r="O121" s="478">
        <f t="shared" si="32"/>
        <v>0</v>
      </c>
      <c r="P121" s="478">
        <f t="shared" si="33"/>
        <v>0</v>
      </c>
    </row>
    <row r="122" spans="2:16" ht="12.5">
      <c r="B122" s="160" t="str">
        <f t="shared" si="34"/>
        <v/>
      </c>
      <c r="C122" s="472">
        <f>IF(D93="","-",+C121+1)</f>
        <v>2033</v>
      </c>
      <c r="D122" s="346">
        <f>IF(F121+SUM(E$99:E121)=D$92,F121,D$92-SUM(E$99:E121))</f>
        <v>47029.5</v>
      </c>
      <c r="E122" s="486">
        <f>IF(+J96&lt;F121,J96,D122)</f>
        <v>2355</v>
      </c>
      <c r="F122" s="485">
        <f t="shared" si="42"/>
        <v>44674.5</v>
      </c>
      <c r="G122" s="485">
        <f t="shared" si="43"/>
        <v>45852</v>
      </c>
      <c r="H122" s="488">
        <f t="shared" si="44"/>
        <v>7572.6271460786784</v>
      </c>
      <c r="I122" s="542">
        <f t="shared" si="45"/>
        <v>7572.6271460786784</v>
      </c>
      <c r="J122" s="478">
        <f t="shared" si="28"/>
        <v>0</v>
      </c>
      <c r="K122" s="478"/>
      <c r="L122" s="487"/>
      <c r="M122" s="478">
        <f t="shared" si="30"/>
        <v>0</v>
      </c>
      <c r="N122" s="487"/>
      <c r="O122" s="478">
        <f t="shared" si="32"/>
        <v>0</v>
      </c>
      <c r="P122" s="478">
        <f t="shared" si="33"/>
        <v>0</v>
      </c>
    </row>
    <row r="123" spans="2:16" ht="12.5">
      <c r="B123" s="160" t="str">
        <f t="shared" si="34"/>
        <v/>
      </c>
      <c r="C123" s="472">
        <f>IF(D93="","-",+C122+1)</f>
        <v>2034</v>
      </c>
      <c r="D123" s="346">
        <f>IF(F122+SUM(E$99:E122)=D$92,F122,D$92-SUM(E$99:E122))</f>
        <v>44674.5</v>
      </c>
      <c r="E123" s="486">
        <f>IF(+J96&lt;F122,J96,D123)</f>
        <v>2355</v>
      </c>
      <c r="F123" s="485">
        <f t="shared" si="42"/>
        <v>42319.5</v>
      </c>
      <c r="G123" s="485">
        <f t="shared" si="43"/>
        <v>43497</v>
      </c>
      <c r="H123" s="488">
        <f t="shared" si="44"/>
        <v>7304.6451184895814</v>
      </c>
      <c r="I123" s="542">
        <f t="shared" si="45"/>
        <v>7304.6451184895814</v>
      </c>
      <c r="J123" s="478">
        <f t="shared" si="28"/>
        <v>0</v>
      </c>
      <c r="K123" s="478"/>
      <c r="L123" s="487"/>
      <c r="M123" s="478">
        <f t="shared" si="30"/>
        <v>0</v>
      </c>
      <c r="N123" s="487"/>
      <c r="O123" s="478">
        <f t="shared" si="32"/>
        <v>0</v>
      </c>
      <c r="P123" s="478">
        <f t="shared" si="33"/>
        <v>0</v>
      </c>
    </row>
    <row r="124" spans="2:16" ht="12.5">
      <c r="B124" s="160" t="str">
        <f t="shared" si="34"/>
        <v/>
      </c>
      <c r="C124" s="472">
        <f>IF(D93="","-",+C123+1)</f>
        <v>2035</v>
      </c>
      <c r="D124" s="346">
        <f>IF(F123+SUM(E$99:E123)=D$92,F123,D$92-SUM(E$99:E123))</f>
        <v>42319.5</v>
      </c>
      <c r="E124" s="486">
        <f>IF(+J96&lt;F123,J96,D124)</f>
        <v>2355</v>
      </c>
      <c r="F124" s="485">
        <f t="shared" si="42"/>
        <v>39964.5</v>
      </c>
      <c r="G124" s="485">
        <f t="shared" si="43"/>
        <v>41142</v>
      </c>
      <c r="H124" s="488">
        <f t="shared" si="44"/>
        <v>7036.6630909004843</v>
      </c>
      <c r="I124" s="542">
        <f t="shared" si="45"/>
        <v>7036.6630909004843</v>
      </c>
      <c r="J124" s="478">
        <f t="shared" si="28"/>
        <v>0</v>
      </c>
      <c r="K124" s="478"/>
      <c r="L124" s="487"/>
      <c r="M124" s="478">
        <f t="shared" si="30"/>
        <v>0</v>
      </c>
      <c r="N124" s="487"/>
      <c r="O124" s="478">
        <f t="shared" si="32"/>
        <v>0</v>
      </c>
      <c r="P124" s="478">
        <f t="shared" si="33"/>
        <v>0</v>
      </c>
    </row>
    <row r="125" spans="2:16" ht="12.5">
      <c r="B125" s="160" t="str">
        <f t="shared" si="34"/>
        <v/>
      </c>
      <c r="C125" s="472">
        <f>IF(D93="","-",+C124+1)</f>
        <v>2036</v>
      </c>
      <c r="D125" s="346">
        <f>IF(F124+SUM(E$99:E124)=D$92,F124,D$92-SUM(E$99:E124))</f>
        <v>39964.5</v>
      </c>
      <c r="E125" s="486">
        <f>IF(+J96&lt;F124,J96,D125)</f>
        <v>2355</v>
      </c>
      <c r="F125" s="485">
        <f t="shared" si="42"/>
        <v>37609.5</v>
      </c>
      <c r="G125" s="485">
        <f t="shared" si="43"/>
        <v>38787</v>
      </c>
      <c r="H125" s="488">
        <f t="shared" si="44"/>
        <v>6768.6810633113864</v>
      </c>
      <c r="I125" s="542">
        <f t="shared" si="45"/>
        <v>6768.6810633113864</v>
      </c>
      <c r="J125" s="478">
        <f t="shared" si="28"/>
        <v>0</v>
      </c>
      <c r="K125" s="478"/>
      <c r="L125" s="487"/>
      <c r="M125" s="478">
        <f t="shared" si="30"/>
        <v>0</v>
      </c>
      <c r="N125" s="487"/>
      <c r="O125" s="478">
        <f t="shared" si="32"/>
        <v>0</v>
      </c>
      <c r="P125" s="478">
        <f t="shared" si="33"/>
        <v>0</v>
      </c>
    </row>
    <row r="126" spans="2:16" ht="12.5">
      <c r="B126" s="160" t="str">
        <f t="shared" si="34"/>
        <v/>
      </c>
      <c r="C126" s="472">
        <f>IF(D93="","-",+C125+1)</f>
        <v>2037</v>
      </c>
      <c r="D126" s="346">
        <f>IF(F125+SUM(E$99:E125)=D$92,F125,D$92-SUM(E$99:E125))</f>
        <v>37609.5</v>
      </c>
      <c r="E126" s="486">
        <f>IF(+J96&lt;F125,J96,D126)</f>
        <v>2355</v>
      </c>
      <c r="F126" s="485">
        <f t="shared" si="42"/>
        <v>35254.5</v>
      </c>
      <c r="G126" s="485">
        <f t="shared" si="43"/>
        <v>36432</v>
      </c>
      <c r="H126" s="488">
        <f t="shared" si="44"/>
        <v>6500.6990357222894</v>
      </c>
      <c r="I126" s="542">
        <f t="shared" si="45"/>
        <v>6500.6990357222894</v>
      </c>
      <c r="J126" s="478">
        <f t="shared" si="28"/>
        <v>0</v>
      </c>
      <c r="K126" s="478"/>
      <c r="L126" s="487"/>
      <c r="M126" s="478">
        <f t="shared" si="30"/>
        <v>0</v>
      </c>
      <c r="N126" s="487"/>
      <c r="O126" s="478">
        <f t="shared" si="32"/>
        <v>0</v>
      </c>
      <c r="P126" s="478">
        <f t="shared" si="33"/>
        <v>0</v>
      </c>
    </row>
    <row r="127" spans="2:16" ht="12.5">
      <c r="B127" s="160" t="str">
        <f t="shared" si="34"/>
        <v/>
      </c>
      <c r="C127" s="472">
        <f>IF(D93="","-",+C126+1)</f>
        <v>2038</v>
      </c>
      <c r="D127" s="346">
        <f>IF(F126+SUM(E$99:E126)=D$92,F126,D$92-SUM(E$99:E126))</f>
        <v>35254.5</v>
      </c>
      <c r="E127" s="486">
        <f>IF(+J96&lt;F126,J96,D127)</f>
        <v>2355</v>
      </c>
      <c r="F127" s="485">
        <f t="shared" si="42"/>
        <v>32899.5</v>
      </c>
      <c r="G127" s="485">
        <f t="shared" si="43"/>
        <v>34077</v>
      </c>
      <c r="H127" s="488">
        <f t="shared" si="44"/>
        <v>6232.7170081331915</v>
      </c>
      <c r="I127" s="542">
        <f t="shared" si="45"/>
        <v>6232.7170081331915</v>
      </c>
      <c r="J127" s="478">
        <f t="shared" si="28"/>
        <v>0</v>
      </c>
      <c r="K127" s="478"/>
      <c r="L127" s="487"/>
      <c r="M127" s="478">
        <f t="shared" si="30"/>
        <v>0</v>
      </c>
      <c r="N127" s="487"/>
      <c r="O127" s="478">
        <f t="shared" si="32"/>
        <v>0</v>
      </c>
      <c r="P127" s="478">
        <f t="shared" si="33"/>
        <v>0</v>
      </c>
    </row>
    <row r="128" spans="2:16" ht="12.5">
      <c r="B128" s="160" t="str">
        <f t="shared" si="34"/>
        <v/>
      </c>
      <c r="C128" s="472">
        <f>IF(D93="","-",+C127+1)</f>
        <v>2039</v>
      </c>
      <c r="D128" s="346">
        <f>IF(F127+SUM(E$99:E127)=D$92,F127,D$92-SUM(E$99:E127))</f>
        <v>32899.5</v>
      </c>
      <c r="E128" s="486">
        <f>IF(+J96&lt;F127,J96,D128)</f>
        <v>2355</v>
      </c>
      <c r="F128" s="485">
        <f t="shared" si="42"/>
        <v>30544.5</v>
      </c>
      <c r="G128" s="485">
        <f t="shared" si="43"/>
        <v>31722</v>
      </c>
      <c r="H128" s="488">
        <f t="shared" si="44"/>
        <v>5964.7349805440954</v>
      </c>
      <c r="I128" s="542">
        <f t="shared" si="45"/>
        <v>5964.7349805440954</v>
      </c>
      <c r="J128" s="478">
        <f t="shared" si="28"/>
        <v>0</v>
      </c>
      <c r="K128" s="478"/>
      <c r="L128" s="487"/>
      <c r="M128" s="478">
        <f t="shared" si="30"/>
        <v>0</v>
      </c>
      <c r="N128" s="487"/>
      <c r="O128" s="478">
        <f t="shared" si="32"/>
        <v>0</v>
      </c>
      <c r="P128" s="478">
        <f t="shared" si="33"/>
        <v>0</v>
      </c>
    </row>
    <row r="129" spans="2:16" ht="12.5">
      <c r="B129" s="160" t="str">
        <f t="shared" si="34"/>
        <v/>
      </c>
      <c r="C129" s="472">
        <f>IF(D93="","-",+C128+1)</f>
        <v>2040</v>
      </c>
      <c r="D129" s="346">
        <f>IF(F128+SUM(E$99:E128)=D$92,F128,D$92-SUM(E$99:E128))</f>
        <v>30544.5</v>
      </c>
      <c r="E129" s="486">
        <f>IF(+J96&lt;F128,J96,D129)</f>
        <v>2355</v>
      </c>
      <c r="F129" s="485">
        <f t="shared" si="42"/>
        <v>28189.5</v>
      </c>
      <c r="G129" s="485">
        <f t="shared" si="43"/>
        <v>29367</v>
      </c>
      <c r="H129" s="488">
        <f t="shared" si="44"/>
        <v>5696.7529529549975</v>
      </c>
      <c r="I129" s="542">
        <f t="shared" si="45"/>
        <v>5696.7529529549975</v>
      </c>
      <c r="J129" s="478">
        <f t="shared" si="28"/>
        <v>0</v>
      </c>
      <c r="K129" s="478"/>
      <c r="L129" s="487"/>
      <c r="M129" s="478">
        <f t="shared" si="30"/>
        <v>0</v>
      </c>
      <c r="N129" s="487"/>
      <c r="O129" s="478">
        <f t="shared" si="32"/>
        <v>0</v>
      </c>
      <c r="P129" s="478">
        <f t="shared" si="33"/>
        <v>0</v>
      </c>
    </row>
    <row r="130" spans="2:16" ht="12.5">
      <c r="B130" s="160" t="str">
        <f t="shared" si="34"/>
        <v/>
      </c>
      <c r="C130" s="472">
        <f>IF(D93="","-",+C129+1)</f>
        <v>2041</v>
      </c>
      <c r="D130" s="346">
        <f>IF(F129+SUM(E$99:E129)=D$92,F129,D$92-SUM(E$99:E129))</f>
        <v>28189.5</v>
      </c>
      <c r="E130" s="486">
        <f>IF(+J96&lt;F129,J96,D130)</f>
        <v>2355</v>
      </c>
      <c r="F130" s="485">
        <f t="shared" ref="F130:F145" si="46">+D130-E130</f>
        <v>25834.5</v>
      </c>
      <c r="G130" s="485">
        <f t="shared" ref="G130:G145" si="47">+(F130+D130)/2</f>
        <v>27012</v>
      </c>
      <c r="H130" s="488">
        <f t="shared" si="44"/>
        <v>5428.7709253659004</v>
      </c>
      <c r="I130" s="542">
        <f t="shared" si="45"/>
        <v>5428.7709253659004</v>
      </c>
      <c r="J130" s="478">
        <f t="shared" si="28"/>
        <v>0</v>
      </c>
      <c r="K130" s="478"/>
      <c r="L130" s="487"/>
      <c r="M130" s="478">
        <f t="shared" si="30"/>
        <v>0</v>
      </c>
      <c r="N130" s="487"/>
      <c r="O130" s="478">
        <f t="shared" si="32"/>
        <v>0</v>
      </c>
      <c r="P130" s="478">
        <f t="shared" si="33"/>
        <v>0</v>
      </c>
    </row>
    <row r="131" spans="2:16" ht="12.5">
      <c r="B131" s="160" t="str">
        <f t="shared" si="34"/>
        <v/>
      </c>
      <c r="C131" s="472">
        <f>IF(D93="","-",+C130+1)</f>
        <v>2042</v>
      </c>
      <c r="D131" s="346">
        <f>IF(F130+SUM(E$99:E130)=D$92,F130,D$92-SUM(E$99:E130))</f>
        <v>25834.5</v>
      </c>
      <c r="E131" s="486">
        <f>IF(+J96&lt;F130,J96,D131)</f>
        <v>2355</v>
      </c>
      <c r="F131" s="485">
        <f t="shared" si="46"/>
        <v>23479.5</v>
      </c>
      <c r="G131" s="485">
        <f t="shared" si="47"/>
        <v>24657</v>
      </c>
      <c r="H131" s="488">
        <f t="shared" ref="H131:H154" si="48">+J$94*G131+E131</f>
        <v>5160.7888977768034</v>
      </c>
      <c r="I131" s="542">
        <f t="shared" ref="I131:I154" si="49">+J$95*G131+E131</f>
        <v>5160.7888977768034</v>
      </c>
      <c r="J131" s="478">
        <f t="shared" ref="J131:J154" si="50">+I541-H541</f>
        <v>0</v>
      </c>
      <c r="K131" s="478"/>
      <c r="L131" s="487"/>
      <c r="M131" s="478">
        <f t="shared" ref="M131:M154" si="51">IF(L541&lt;&gt;0,+H541-L541,0)</f>
        <v>0</v>
      </c>
      <c r="N131" s="487"/>
      <c r="O131" s="478">
        <f t="shared" ref="O131:O154" si="52">IF(N541&lt;&gt;0,+I541-N541,0)</f>
        <v>0</v>
      </c>
      <c r="P131" s="478">
        <f t="shared" ref="P131:P154" si="53">+O541-M541</f>
        <v>0</v>
      </c>
    </row>
    <row r="132" spans="2:16" ht="12.5">
      <c r="B132" s="160" t="str">
        <f t="shared" si="34"/>
        <v/>
      </c>
      <c r="C132" s="472">
        <f>IF(D93="","-",+C131+1)</f>
        <v>2043</v>
      </c>
      <c r="D132" s="346">
        <f>IF(F131+SUM(E$99:E131)=D$92,F131,D$92-SUM(E$99:E131))</f>
        <v>23479.5</v>
      </c>
      <c r="E132" s="486">
        <f>IF(+J96&lt;F131,J96,D132)</f>
        <v>2355</v>
      </c>
      <c r="F132" s="485">
        <f t="shared" si="46"/>
        <v>21124.5</v>
      </c>
      <c r="G132" s="485">
        <f t="shared" si="47"/>
        <v>22302</v>
      </c>
      <c r="H132" s="488">
        <f t="shared" si="48"/>
        <v>4892.8068701877055</v>
      </c>
      <c r="I132" s="542">
        <f t="shared" si="49"/>
        <v>4892.8068701877055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 ht="12.5">
      <c r="B133" s="160" t="str">
        <f t="shared" si="34"/>
        <v/>
      </c>
      <c r="C133" s="472">
        <f>IF(D93="","-",+C132+1)</f>
        <v>2044</v>
      </c>
      <c r="D133" s="346">
        <f>IF(F132+SUM(E$99:E132)=D$92,F132,D$92-SUM(E$99:E132))</f>
        <v>21124.5</v>
      </c>
      <c r="E133" s="486">
        <f>IF(+J96&lt;F132,J96,D133)</f>
        <v>2355</v>
      </c>
      <c r="F133" s="485">
        <f t="shared" si="46"/>
        <v>18769.5</v>
      </c>
      <c r="G133" s="485">
        <f t="shared" si="47"/>
        <v>19947</v>
      </c>
      <c r="H133" s="488">
        <f t="shared" si="48"/>
        <v>4624.8248425986085</v>
      </c>
      <c r="I133" s="542">
        <f t="shared" si="49"/>
        <v>4624.8248425986085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 ht="12.5">
      <c r="B134" s="160" t="str">
        <f t="shared" si="34"/>
        <v/>
      </c>
      <c r="C134" s="472">
        <f>IF(D93="","-",+C133+1)</f>
        <v>2045</v>
      </c>
      <c r="D134" s="346">
        <f>IF(F133+SUM(E$99:E133)=D$92,F133,D$92-SUM(E$99:E133))</f>
        <v>18769.5</v>
      </c>
      <c r="E134" s="486">
        <f>IF(+J96&lt;F133,J96,D134)</f>
        <v>2355</v>
      </c>
      <c r="F134" s="485">
        <f t="shared" si="46"/>
        <v>16414.5</v>
      </c>
      <c r="G134" s="485">
        <f t="shared" si="47"/>
        <v>17592</v>
      </c>
      <c r="H134" s="488">
        <f t="shared" si="48"/>
        <v>4356.8428150095115</v>
      </c>
      <c r="I134" s="542">
        <f t="shared" si="49"/>
        <v>4356.8428150095115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 ht="12.5">
      <c r="B135" s="160" t="str">
        <f t="shared" si="34"/>
        <v/>
      </c>
      <c r="C135" s="472">
        <f>IF(D93="","-",+C134+1)</f>
        <v>2046</v>
      </c>
      <c r="D135" s="346">
        <f>IF(F134+SUM(E$99:E134)=D$92,F134,D$92-SUM(E$99:E134))</f>
        <v>16414.5</v>
      </c>
      <c r="E135" s="486">
        <f>IF(+J96&lt;F134,J96,D135)</f>
        <v>2355</v>
      </c>
      <c r="F135" s="485">
        <f t="shared" si="46"/>
        <v>14059.5</v>
      </c>
      <c r="G135" s="485">
        <f t="shared" si="47"/>
        <v>15237</v>
      </c>
      <c r="H135" s="488">
        <f t="shared" si="48"/>
        <v>4088.860787420414</v>
      </c>
      <c r="I135" s="542">
        <f t="shared" si="49"/>
        <v>4088.860787420414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 ht="12.5">
      <c r="B136" s="160" t="str">
        <f t="shared" si="34"/>
        <v/>
      </c>
      <c r="C136" s="472">
        <f>IF(D93="","-",+C135+1)</f>
        <v>2047</v>
      </c>
      <c r="D136" s="346">
        <f>IF(F135+SUM(E$99:E135)=D$92,F135,D$92-SUM(E$99:E135))</f>
        <v>14059.5</v>
      </c>
      <c r="E136" s="486">
        <f>IF(+J96&lt;F135,J96,D136)</f>
        <v>2355</v>
      </c>
      <c r="F136" s="485">
        <f t="shared" si="46"/>
        <v>11704.5</v>
      </c>
      <c r="G136" s="485">
        <f t="shared" si="47"/>
        <v>12882</v>
      </c>
      <c r="H136" s="488">
        <f t="shared" si="48"/>
        <v>3820.8787598313165</v>
      </c>
      <c r="I136" s="542">
        <f t="shared" si="49"/>
        <v>3820.8787598313165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 ht="12.5">
      <c r="B137" s="160" t="str">
        <f t="shared" si="34"/>
        <v/>
      </c>
      <c r="C137" s="472">
        <f>IF(D93="","-",+C136+1)</f>
        <v>2048</v>
      </c>
      <c r="D137" s="346">
        <f>IF(F136+SUM(E$99:E136)=D$92,F136,D$92-SUM(E$99:E136))</f>
        <v>11704.5</v>
      </c>
      <c r="E137" s="486">
        <f>IF(+J96&lt;F136,J96,D137)</f>
        <v>2355</v>
      </c>
      <c r="F137" s="485">
        <f t="shared" si="46"/>
        <v>9349.5</v>
      </c>
      <c r="G137" s="485">
        <f t="shared" si="47"/>
        <v>10527</v>
      </c>
      <c r="H137" s="488">
        <f t="shared" si="48"/>
        <v>3552.8967322422195</v>
      </c>
      <c r="I137" s="542">
        <f t="shared" si="49"/>
        <v>3552.8967322422195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 ht="12.5">
      <c r="B138" s="160" t="str">
        <f t="shared" si="34"/>
        <v/>
      </c>
      <c r="C138" s="472">
        <f>IF(D93="","-",+C137+1)</f>
        <v>2049</v>
      </c>
      <c r="D138" s="346">
        <f>IF(F137+SUM(E$99:E137)=D$92,F137,D$92-SUM(E$99:E137))</f>
        <v>9349.5</v>
      </c>
      <c r="E138" s="486">
        <f>IF(+J96&lt;F137,J96,D138)</f>
        <v>2355</v>
      </c>
      <c r="F138" s="485">
        <f t="shared" si="46"/>
        <v>6994.5</v>
      </c>
      <c r="G138" s="485">
        <f t="shared" si="47"/>
        <v>8172</v>
      </c>
      <c r="H138" s="488">
        <f t="shared" si="48"/>
        <v>3284.9147046531225</v>
      </c>
      <c r="I138" s="542">
        <f t="shared" si="49"/>
        <v>3284.9147046531225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 ht="12.5">
      <c r="B139" s="160" t="str">
        <f t="shared" si="34"/>
        <v/>
      </c>
      <c r="C139" s="472">
        <f>IF(D93="","-",+C138+1)</f>
        <v>2050</v>
      </c>
      <c r="D139" s="346">
        <f>IF(F138+SUM(E$99:E138)=D$92,F138,D$92-SUM(E$99:E138))</f>
        <v>6994.5</v>
      </c>
      <c r="E139" s="486">
        <f>IF(+J96&lt;F138,J96,D139)</f>
        <v>2355</v>
      </c>
      <c r="F139" s="485">
        <f t="shared" si="46"/>
        <v>4639.5</v>
      </c>
      <c r="G139" s="485">
        <f t="shared" si="47"/>
        <v>5817</v>
      </c>
      <c r="H139" s="488">
        <f t="shared" si="48"/>
        <v>3016.932677064025</v>
      </c>
      <c r="I139" s="542">
        <f t="shared" si="49"/>
        <v>3016.932677064025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 ht="12.5">
      <c r="B140" s="160" t="str">
        <f t="shared" si="34"/>
        <v/>
      </c>
      <c r="C140" s="472">
        <f>IF(D93="","-",+C139+1)</f>
        <v>2051</v>
      </c>
      <c r="D140" s="346">
        <f>IF(F139+SUM(E$99:E139)=D$92,F139,D$92-SUM(E$99:E139))</f>
        <v>4639.5</v>
      </c>
      <c r="E140" s="486">
        <f>IF(+J96&lt;F139,J96,D140)</f>
        <v>2355</v>
      </c>
      <c r="F140" s="485">
        <f t="shared" si="46"/>
        <v>2284.5</v>
      </c>
      <c r="G140" s="485">
        <f t="shared" si="47"/>
        <v>3462</v>
      </c>
      <c r="H140" s="488">
        <f t="shared" si="48"/>
        <v>2748.9506494749276</v>
      </c>
      <c r="I140" s="542">
        <f t="shared" si="49"/>
        <v>2748.9506494749276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 ht="12.5">
      <c r="B141" s="160" t="str">
        <f t="shared" si="34"/>
        <v/>
      </c>
      <c r="C141" s="472">
        <f>IF(D93="","-",+C140+1)</f>
        <v>2052</v>
      </c>
      <c r="D141" s="346">
        <f>IF(F140+SUM(E$99:E140)=D$92,F140,D$92-SUM(E$99:E140))</f>
        <v>2284.5</v>
      </c>
      <c r="E141" s="486">
        <f>IF(+J96&lt;F140,J96,D141)</f>
        <v>2284.5</v>
      </c>
      <c r="F141" s="485">
        <f t="shared" si="46"/>
        <v>0</v>
      </c>
      <c r="G141" s="485">
        <f t="shared" si="47"/>
        <v>1142.25</v>
      </c>
      <c r="H141" s="488">
        <f t="shared" si="48"/>
        <v>2414.4798178401898</v>
      </c>
      <c r="I141" s="542">
        <f t="shared" si="49"/>
        <v>2414.4798178401898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 ht="12.5">
      <c r="B142" s="160" t="str">
        <f t="shared" si="34"/>
        <v/>
      </c>
      <c r="C142" s="472">
        <f>IF(D93="","-",+C141+1)</f>
        <v>2053</v>
      </c>
      <c r="D142" s="346">
        <f>IF(F141+SUM(E$99:E141)=D$92,F141,D$92-SUM(E$99:E141))</f>
        <v>0</v>
      </c>
      <c r="E142" s="486">
        <f>IF(+J96&lt;F141,J96,D142)</f>
        <v>0</v>
      </c>
      <c r="F142" s="485">
        <f t="shared" si="46"/>
        <v>0</v>
      </c>
      <c r="G142" s="485">
        <f t="shared" si="47"/>
        <v>0</v>
      </c>
      <c r="H142" s="488">
        <f t="shared" si="48"/>
        <v>0</v>
      </c>
      <c r="I142" s="542">
        <f t="shared" si="49"/>
        <v>0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 ht="12.5">
      <c r="B143" s="160" t="str">
        <f t="shared" si="34"/>
        <v/>
      </c>
      <c r="C143" s="472">
        <f>IF(D93="","-",+C142+1)</f>
        <v>2054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6"/>
        <v>0</v>
      </c>
      <c r="G143" s="485">
        <f t="shared" si="47"/>
        <v>0</v>
      </c>
      <c r="H143" s="488">
        <f t="shared" si="48"/>
        <v>0</v>
      </c>
      <c r="I143" s="542">
        <f t="shared" si="49"/>
        <v>0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 ht="12.5">
      <c r="B144" s="160" t="str">
        <f t="shared" si="34"/>
        <v/>
      </c>
      <c r="C144" s="472">
        <f>IF(D93="","-",+C143+1)</f>
        <v>2055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6"/>
        <v>0</v>
      </c>
      <c r="G144" s="485">
        <f t="shared" si="47"/>
        <v>0</v>
      </c>
      <c r="H144" s="488">
        <f t="shared" si="48"/>
        <v>0</v>
      </c>
      <c r="I144" s="542">
        <f t="shared" si="49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 ht="12.5">
      <c r="B145" s="160" t="str">
        <f t="shared" si="34"/>
        <v/>
      </c>
      <c r="C145" s="472">
        <f>IF(D93="","-",+C144+1)</f>
        <v>2056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6"/>
        <v>0</v>
      </c>
      <c r="G145" s="485">
        <f t="shared" si="47"/>
        <v>0</v>
      </c>
      <c r="H145" s="488">
        <f t="shared" si="48"/>
        <v>0</v>
      </c>
      <c r="I145" s="542">
        <f t="shared" si="49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 ht="12.5">
      <c r="B146" s="160" t="str">
        <f t="shared" si="34"/>
        <v/>
      </c>
      <c r="C146" s="472">
        <f>IF(D93="","-",+C145+1)</f>
        <v>2057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ref="F146:F154" si="54">+D146-E146</f>
        <v>0</v>
      </c>
      <c r="G146" s="485">
        <f t="shared" ref="G146:G154" si="55">+(F146+D146)/2</f>
        <v>0</v>
      </c>
      <c r="H146" s="488">
        <f t="shared" si="48"/>
        <v>0</v>
      </c>
      <c r="I146" s="542">
        <f t="shared" si="49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 ht="12.5">
      <c r="B147" s="160" t="str">
        <f t="shared" si="34"/>
        <v/>
      </c>
      <c r="C147" s="472">
        <f>IF(D93="","-",+C146+1)</f>
        <v>2058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54"/>
        <v>0</v>
      </c>
      <c r="G147" s="485">
        <f t="shared" si="55"/>
        <v>0</v>
      </c>
      <c r="H147" s="488">
        <f t="shared" si="48"/>
        <v>0</v>
      </c>
      <c r="I147" s="542">
        <f t="shared" si="49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 ht="12.5">
      <c r="B148" s="160" t="str">
        <f t="shared" si="34"/>
        <v/>
      </c>
      <c r="C148" s="472">
        <f>IF(D93="","-",+C147+1)</f>
        <v>2059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54"/>
        <v>0</v>
      </c>
      <c r="G148" s="485">
        <f t="shared" si="55"/>
        <v>0</v>
      </c>
      <c r="H148" s="488">
        <f t="shared" si="48"/>
        <v>0</v>
      </c>
      <c r="I148" s="542">
        <f t="shared" si="49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 ht="12.5">
      <c r="B149" s="160" t="str">
        <f t="shared" si="34"/>
        <v/>
      </c>
      <c r="C149" s="472">
        <f>IF(D93="","-",+C148+1)</f>
        <v>2060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54"/>
        <v>0</v>
      </c>
      <c r="G149" s="485">
        <f t="shared" si="55"/>
        <v>0</v>
      </c>
      <c r="H149" s="488">
        <f t="shared" si="48"/>
        <v>0</v>
      </c>
      <c r="I149" s="542">
        <f t="shared" si="49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 ht="12.5">
      <c r="B150" s="160" t="str">
        <f t="shared" si="34"/>
        <v/>
      </c>
      <c r="C150" s="472">
        <f>IF(D93="","-",+C149+1)</f>
        <v>2061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54"/>
        <v>0</v>
      </c>
      <c r="G150" s="485">
        <f t="shared" si="55"/>
        <v>0</v>
      </c>
      <c r="H150" s="488">
        <f t="shared" si="48"/>
        <v>0</v>
      </c>
      <c r="I150" s="542">
        <f t="shared" si="49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 ht="12.5">
      <c r="B151" s="160" t="str">
        <f t="shared" si="34"/>
        <v/>
      </c>
      <c r="C151" s="472">
        <f>IF(D93="","-",+C150+1)</f>
        <v>2062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54"/>
        <v>0</v>
      </c>
      <c r="G151" s="485">
        <f t="shared" si="55"/>
        <v>0</v>
      </c>
      <c r="H151" s="488">
        <f t="shared" si="48"/>
        <v>0</v>
      </c>
      <c r="I151" s="542">
        <f t="shared" si="49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 ht="12.5">
      <c r="B152" s="160" t="str">
        <f t="shared" si="34"/>
        <v/>
      </c>
      <c r="C152" s="472">
        <f>IF(D93="","-",+C151+1)</f>
        <v>2063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54"/>
        <v>0</v>
      </c>
      <c r="G152" s="485">
        <f t="shared" si="55"/>
        <v>0</v>
      </c>
      <c r="H152" s="488">
        <f t="shared" si="48"/>
        <v>0</v>
      </c>
      <c r="I152" s="542">
        <f t="shared" si="49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 ht="12.5">
      <c r="B153" s="160" t="str">
        <f t="shared" si="34"/>
        <v/>
      </c>
      <c r="C153" s="472">
        <f>IF(D93="","-",+C152+1)</f>
        <v>2064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54"/>
        <v>0</v>
      </c>
      <c r="G153" s="485">
        <f t="shared" si="55"/>
        <v>0</v>
      </c>
      <c r="H153" s="488">
        <f t="shared" si="48"/>
        <v>0</v>
      </c>
      <c r="I153" s="542">
        <f t="shared" si="49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" thickBot="1">
      <c r="B154" s="160" t="str">
        <f t="shared" si="34"/>
        <v/>
      </c>
      <c r="C154" s="489">
        <f>IF(D93="","-",+C153+1)</f>
        <v>2065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4"/>
        <v>0</v>
      </c>
      <c r="G154" s="490">
        <f t="shared" si="55"/>
        <v>0</v>
      </c>
      <c r="H154" s="492">
        <f t="shared" si="48"/>
        <v>0</v>
      </c>
      <c r="I154" s="545">
        <f t="shared" si="49"/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 ht="12.5">
      <c r="C155" s="346" t="s">
        <v>77</v>
      </c>
      <c r="D155" s="347"/>
      <c r="E155" s="347">
        <f>SUM(E99:E154)</f>
        <v>96566</v>
      </c>
      <c r="F155" s="347"/>
      <c r="G155" s="347"/>
      <c r="H155" s="347">
        <f>SUM(H99:H154)</f>
        <v>352130.28408036678</v>
      </c>
      <c r="I155" s="347">
        <f>SUM(I99:I154)</f>
        <v>352130.28408036678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92D05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3" width="17.7265625" style="148" customWidth="1"/>
    <col min="14" max="14" width="16.7265625" style="148" customWidth="1"/>
    <col min="15" max="15" width="18.4531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11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569" t="s">
        <v>263</v>
      </c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157566.55435897436</v>
      </c>
      <c r="P5" s="232"/>
    </row>
    <row r="6" spans="1:16" ht="15.5">
      <c r="C6" s="570" t="s">
        <v>264</v>
      </c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157566.55435897436</v>
      </c>
      <c r="O6" s="232"/>
      <c r="P6" s="232"/>
    </row>
    <row r="7" spans="1:16" ht="13.5" thickBot="1">
      <c r="C7" s="431" t="s">
        <v>46</v>
      </c>
      <c r="D7" s="432" t="s">
        <v>229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6" thickBot="1">
      <c r="C8" s="571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228</v>
      </c>
      <c r="E9" s="577" t="s">
        <v>344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1404099.6199999999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2011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36002.554358974354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2011</v>
      </c>
      <c r="D17" s="473">
        <v>1624000</v>
      </c>
      <c r="E17" s="474">
        <v>15921.568627450981</v>
      </c>
      <c r="F17" s="473">
        <v>1608078.4313725489</v>
      </c>
      <c r="G17" s="474">
        <v>267655.54041850357</v>
      </c>
      <c r="H17" s="481">
        <v>267655.54041850357</v>
      </c>
      <c r="I17" s="475">
        <f>H17-G17</f>
        <v>0</v>
      </c>
      <c r="J17" s="475"/>
      <c r="K17" s="554">
        <f t="shared" ref="K17:K22" si="0">G17</f>
        <v>267655.54041850357</v>
      </c>
      <c r="L17" s="562">
        <f t="shared" ref="L17:L48" si="1">IF(K17&lt;&gt;0,+G17-K17,0)</f>
        <v>0</v>
      </c>
      <c r="M17" s="554">
        <f t="shared" ref="M17:M22" si="2">H17</f>
        <v>267655.54041850357</v>
      </c>
      <c r="N17" s="477">
        <f t="shared" ref="N17:N48" si="3">IF(M17&lt;&gt;0,+H17-M17,0)</f>
        <v>0</v>
      </c>
      <c r="O17" s="478">
        <f t="shared" ref="O17:O48" si="4">+N17-L17</f>
        <v>0</v>
      </c>
      <c r="P17" s="242"/>
    </row>
    <row r="18" spans="2:16" ht="12.5">
      <c r="B18" s="160" t="str">
        <f t="shared" ref="B18:B49" si="5">IF(D18=F17,"","IU")</f>
        <v>IU</v>
      </c>
      <c r="C18" s="472">
        <f>IF(D11="","-",+C17+1)</f>
        <v>2012</v>
      </c>
      <c r="D18" s="479">
        <v>1420815.4313725489</v>
      </c>
      <c r="E18" s="480">
        <v>27629.557692307691</v>
      </c>
      <c r="F18" s="479">
        <v>1393185.8736802412</v>
      </c>
      <c r="G18" s="480">
        <v>221570.55769230769</v>
      </c>
      <c r="H18" s="481">
        <v>221570.55769230769</v>
      </c>
      <c r="I18" s="475">
        <f t="shared" ref="I18:I48" si="6">H18-G18</f>
        <v>0</v>
      </c>
      <c r="J18" s="475"/>
      <c r="K18" s="476">
        <f t="shared" si="0"/>
        <v>221570.55769230769</v>
      </c>
      <c r="L18" s="550">
        <f t="shared" si="1"/>
        <v>0</v>
      </c>
      <c r="M18" s="476">
        <f t="shared" si="2"/>
        <v>221570.55769230769</v>
      </c>
      <c r="N18" s="478">
        <f t="shared" si="3"/>
        <v>0</v>
      </c>
      <c r="O18" s="478">
        <f t="shared" si="4"/>
        <v>0</v>
      </c>
      <c r="P18" s="242"/>
    </row>
    <row r="19" spans="2:16" ht="12.5">
      <c r="B19" s="160" t="str">
        <f t="shared" si="5"/>
        <v>IU</v>
      </c>
      <c r="C19" s="472">
        <f>IF(D11="","-",+C18+1)</f>
        <v>2013</v>
      </c>
      <c r="D19" s="479">
        <v>1450171.8736802414</v>
      </c>
      <c r="E19" s="480">
        <v>28725.442307692309</v>
      </c>
      <c r="F19" s="479">
        <v>1421446.4313725492</v>
      </c>
      <c r="G19" s="480">
        <v>231717.44230769231</v>
      </c>
      <c r="H19" s="481">
        <v>231717.44230769231</v>
      </c>
      <c r="I19" s="475">
        <v>0</v>
      </c>
      <c r="J19" s="475"/>
      <c r="K19" s="476">
        <f t="shared" si="0"/>
        <v>231717.44230769231</v>
      </c>
      <c r="L19" s="550">
        <f t="shared" ref="L19:L24" si="7">IF(K19&lt;&gt;0,+G19-K19,0)</f>
        <v>0</v>
      </c>
      <c r="M19" s="476">
        <f t="shared" si="2"/>
        <v>231717.44230769231</v>
      </c>
      <c r="N19" s="478">
        <f t="shared" ref="N19:N24" si="8">IF(M19&lt;&gt;0,+H19-M19,0)</f>
        <v>0</v>
      </c>
      <c r="O19" s="478">
        <f t="shared" ref="O19:O24" si="9">+N19-L19</f>
        <v>0</v>
      </c>
      <c r="P19" s="242"/>
    </row>
    <row r="20" spans="2:16" ht="12.5">
      <c r="B20" s="160" t="str">
        <f t="shared" si="5"/>
        <v>IU</v>
      </c>
      <c r="C20" s="472">
        <f>IF(D11="","-",+C19+1)</f>
        <v>2014</v>
      </c>
      <c r="D20" s="479">
        <v>1331823.0513725488</v>
      </c>
      <c r="E20" s="480">
        <v>27001.915769230767</v>
      </c>
      <c r="F20" s="479">
        <v>1304821.135603318</v>
      </c>
      <c r="G20" s="480">
        <v>206621.91576923078</v>
      </c>
      <c r="H20" s="481">
        <v>206621.91576923078</v>
      </c>
      <c r="I20" s="475">
        <v>0</v>
      </c>
      <c r="J20" s="475"/>
      <c r="K20" s="476">
        <f t="shared" si="0"/>
        <v>206621.91576923078</v>
      </c>
      <c r="L20" s="550">
        <f t="shared" si="7"/>
        <v>0</v>
      </c>
      <c r="M20" s="476">
        <f t="shared" si="2"/>
        <v>206621.91576923078</v>
      </c>
      <c r="N20" s="478">
        <f t="shared" si="8"/>
        <v>0</v>
      </c>
      <c r="O20" s="478">
        <f t="shared" si="9"/>
        <v>0</v>
      </c>
      <c r="P20" s="242"/>
    </row>
    <row r="21" spans="2:16" ht="12.5">
      <c r="B21" s="160" t="str">
        <f t="shared" si="5"/>
        <v/>
      </c>
      <c r="C21" s="472">
        <f>IF(D11="","-",+C20+1)</f>
        <v>2015</v>
      </c>
      <c r="D21" s="479">
        <v>1304821.135603318</v>
      </c>
      <c r="E21" s="480">
        <v>27001.915769230767</v>
      </c>
      <c r="F21" s="479">
        <v>1277819.2198340872</v>
      </c>
      <c r="G21" s="480">
        <v>203176.91576923078</v>
      </c>
      <c r="H21" s="481">
        <v>203176.91576923078</v>
      </c>
      <c r="I21" s="475">
        <v>0</v>
      </c>
      <c r="J21" s="475"/>
      <c r="K21" s="476">
        <f t="shared" si="0"/>
        <v>203176.91576923078</v>
      </c>
      <c r="L21" s="550">
        <f t="shared" si="7"/>
        <v>0</v>
      </c>
      <c r="M21" s="476">
        <f t="shared" si="2"/>
        <v>203176.91576923078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5"/>
        <v/>
      </c>
      <c r="C22" s="472">
        <f>IF(D11="","-",+C21+1)</f>
        <v>2016</v>
      </c>
      <c r="D22" s="479">
        <v>1277819.2198340872</v>
      </c>
      <c r="E22" s="480">
        <v>27001.915769230767</v>
      </c>
      <c r="F22" s="479">
        <v>1250817.3040648564</v>
      </c>
      <c r="G22" s="480">
        <v>191058.91576923078</v>
      </c>
      <c r="H22" s="481">
        <v>191058.91576923078</v>
      </c>
      <c r="I22" s="475">
        <f t="shared" si="6"/>
        <v>0</v>
      </c>
      <c r="J22" s="475"/>
      <c r="K22" s="476">
        <f t="shared" si="0"/>
        <v>191058.91576923078</v>
      </c>
      <c r="L22" s="550">
        <f t="shared" si="7"/>
        <v>0</v>
      </c>
      <c r="M22" s="476">
        <f t="shared" si="2"/>
        <v>191058.91576923078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5"/>
        <v/>
      </c>
      <c r="C23" s="472">
        <f>IF(D11="","-",+C22+1)</f>
        <v>2017</v>
      </c>
      <c r="D23" s="479">
        <v>1250817.3040648564</v>
      </c>
      <c r="E23" s="480">
        <v>30523.904782608693</v>
      </c>
      <c r="F23" s="479">
        <v>1220293.3992822478</v>
      </c>
      <c r="G23" s="480">
        <v>185818.9047826087</v>
      </c>
      <c r="H23" s="481">
        <v>185818.9047826087</v>
      </c>
      <c r="I23" s="475">
        <f t="shared" si="6"/>
        <v>0</v>
      </c>
      <c r="J23" s="475"/>
      <c r="K23" s="476">
        <f t="shared" ref="K23:K28" si="10">G23</f>
        <v>185818.9047826087</v>
      </c>
      <c r="L23" s="550">
        <f t="shared" si="7"/>
        <v>0</v>
      </c>
      <c r="M23" s="476">
        <f t="shared" ref="M23:M28" si="11">H23</f>
        <v>185818.9047826087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5"/>
        <v/>
      </c>
      <c r="C24" s="472">
        <f>IF(D11="","-",+C23+1)</f>
        <v>2018</v>
      </c>
      <c r="D24" s="479">
        <v>1220293.3992822478</v>
      </c>
      <c r="E24" s="480">
        <v>31202.213777777775</v>
      </c>
      <c r="F24" s="479">
        <v>1189091.18550447</v>
      </c>
      <c r="G24" s="480">
        <v>175474.88659362236</v>
      </c>
      <c r="H24" s="481">
        <v>175474.88659362236</v>
      </c>
      <c r="I24" s="475">
        <f t="shared" si="6"/>
        <v>0</v>
      </c>
      <c r="J24" s="475"/>
      <c r="K24" s="476">
        <f t="shared" si="10"/>
        <v>175474.88659362236</v>
      </c>
      <c r="L24" s="550">
        <f t="shared" si="7"/>
        <v>0</v>
      </c>
      <c r="M24" s="476">
        <f t="shared" si="11"/>
        <v>175474.88659362236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5"/>
        <v/>
      </c>
      <c r="C25" s="472">
        <f>IF(D11="","-",+C24+1)</f>
        <v>2019</v>
      </c>
      <c r="D25" s="479">
        <v>1189091.18550447</v>
      </c>
      <c r="E25" s="480">
        <v>35102.4905</v>
      </c>
      <c r="F25" s="479">
        <v>1153988.6950044699</v>
      </c>
      <c r="G25" s="480">
        <v>165912.69365934882</v>
      </c>
      <c r="H25" s="481">
        <v>165912.69365934882</v>
      </c>
      <c r="I25" s="475">
        <f t="shared" si="6"/>
        <v>0</v>
      </c>
      <c r="J25" s="475"/>
      <c r="K25" s="476">
        <f t="shared" si="10"/>
        <v>165912.69365934882</v>
      </c>
      <c r="L25" s="550">
        <f t="shared" ref="L25" si="12">IF(K25&lt;&gt;0,+G25-K25,0)</f>
        <v>0</v>
      </c>
      <c r="M25" s="476">
        <f t="shared" si="11"/>
        <v>165912.69365934882</v>
      </c>
      <c r="N25" s="478">
        <f t="shared" ref="N25" si="13">IF(M25&lt;&gt;0,+H25-M25,0)</f>
        <v>0</v>
      </c>
      <c r="O25" s="478">
        <f t="shared" ref="O25" si="14">+N25-L25</f>
        <v>0</v>
      </c>
      <c r="P25" s="242"/>
    </row>
    <row r="26" spans="2:16" ht="12.5">
      <c r="B26" s="160" t="str">
        <f t="shared" si="5"/>
        <v>IU</v>
      </c>
      <c r="C26" s="472">
        <f>IF(D11="","-",+C25+1)</f>
        <v>2020</v>
      </c>
      <c r="D26" s="479">
        <v>1157888.9717266923</v>
      </c>
      <c r="E26" s="480">
        <v>33430.943333333329</v>
      </c>
      <c r="F26" s="479">
        <v>1124458.0283933589</v>
      </c>
      <c r="G26" s="480">
        <v>156683.13262286683</v>
      </c>
      <c r="H26" s="481">
        <v>156683.13262286683</v>
      </c>
      <c r="I26" s="475">
        <f t="shared" si="6"/>
        <v>0</v>
      </c>
      <c r="J26" s="475"/>
      <c r="K26" s="476">
        <f t="shared" si="10"/>
        <v>156683.13262286683</v>
      </c>
      <c r="L26" s="550">
        <f t="shared" ref="L26" si="15">IF(K26&lt;&gt;0,+G26-K26,0)</f>
        <v>0</v>
      </c>
      <c r="M26" s="476">
        <f t="shared" si="11"/>
        <v>156683.13262286683</v>
      </c>
      <c r="N26" s="478">
        <f t="shared" si="3"/>
        <v>0</v>
      </c>
      <c r="O26" s="478">
        <f t="shared" si="4"/>
        <v>0</v>
      </c>
      <c r="P26" s="242"/>
    </row>
    <row r="27" spans="2:16" ht="12.5">
      <c r="B27" s="160" t="str">
        <f t="shared" si="5"/>
        <v>IU</v>
      </c>
      <c r="C27" s="472">
        <f>IF(D11="","-",+C26+1)</f>
        <v>2021</v>
      </c>
      <c r="D27" s="479">
        <v>1120557.7516711368</v>
      </c>
      <c r="E27" s="480">
        <v>32653.479534883718</v>
      </c>
      <c r="F27" s="479">
        <v>1087904.2721362531</v>
      </c>
      <c r="G27" s="480">
        <v>149953.47953488372</v>
      </c>
      <c r="H27" s="481">
        <v>149953.47953488372</v>
      </c>
      <c r="I27" s="475">
        <f t="shared" si="6"/>
        <v>0</v>
      </c>
      <c r="J27" s="475"/>
      <c r="K27" s="476">
        <f t="shared" si="10"/>
        <v>149953.47953488372</v>
      </c>
      <c r="L27" s="550">
        <f t="shared" ref="L27" si="16">IF(K27&lt;&gt;0,+G27-K27,0)</f>
        <v>0</v>
      </c>
      <c r="M27" s="476">
        <f t="shared" si="11"/>
        <v>149953.47953488372</v>
      </c>
      <c r="N27" s="478">
        <f t="shared" si="3"/>
        <v>0</v>
      </c>
      <c r="O27" s="478">
        <f t="shared" si="4"/>
        <v>0</v>
      </c>
      <c r="P27" s="242"/>
    </row>
    <row r="28" spans="2:16" ht="12.5">
      <c r="B28" s="160" t="str">
        <f t="shared" si="5"/>
        <v/>
      </c>
      <c r="C28" s="472">
        <f>IF(D11="","-",+C27+1)</f>
        <v>2022</v>
      </c>
      <c r="D28" s="479">
        <v>1087904.2721362531</v>
      </c>
      <c r="E28" s="480">
        <v>33430.943333333329</v>
      </c>
      <c r="F28" s="479">
        <v>1054473.3288029197</v>
      </c>
      <c r="G28" s="480">
        <v>147114.94333333333</v>
      </c>
      <c r="H28" s="481">
        <v>147114.94333333333</v>
      </c>
      <c r="I28" s="475">
        <f t="shared" si="6"/>
        <v>0</v>
      </c>
      <c r="J28" s="475"/>
      <c r="K28" s="476">
        <f t="shared" si="10"/>
        <v>147114.94333333333</v>
      </c>
      <c r="L28" s="550">
        <f t="shared" ref="L28" si="17">IF(K28&lt;&gt;0,+G28-K28,0)</f>
        <v>0</v>
      </c>
      <c r="M28" s="476">
        <f t="shared" si="11"/>
        <v>147114.94333333333</v>
      </c>
      <c r="N28" s="478">
        <f t="shared" si="3"/>
        <v>0</v>
      </c>
      <c r="O28" s="478">
        <f t="shared" si="4"/>
        <v>0</v>
      </c>
      <c r="P28" s="242"/>
    </row>
    <row r="29" spans="2:16" ht="12.5">
      <c r="B29" s="160" t="str">
        <f t="shared" si="5"/>
        <v/>
      </c>
      <c r="C29" s="472">
        <f>IF(D11="","-",+C28+1)</f>
        <v>2023</v>
      </c>
      <c r="D29" s="485">
        <f>IF(F28+SUM(E$17:E28)=D$10,F28,D$10-SUM(E$17:E28))</f>
        <v>1054473.3288029197</v>
      </c>
      <c r="E29" s="484">
        <f>IF(+I14&lt;F28,I14,D29)</f>
        <v>36002.554358974354</v>
      </c>
      <c r="F29" s="485">
        <f t="shared" ref="F29:F49" si="18">+D29-E29</f>
        <v>1018470.7744439454</v>
      </c>
      <c r="G29" s="486">
        <f t="shared" ref="G29:G49" si="19">ROUND(I$12*F29,0)+E29</f>
        <v>157566.55435897436</v>
      </c>
      <c r="H29" s="455">
        <f t="shared" ref="H29:H49" si="20">ROUND(I$13*F29,0)+E29</f>
        <v>157566.55435897436</v>
      </c>
      <c r="I29" s="475">
        <f t="shared" si="6"/>
        <v>0</v>
      </c>
      <c r="J29" s="475"/>
      <c r="K29" s="487"/>
      <c r="L29" s="478">
        <f t="shared" si="1"/>
        <v>0</v>
      </c>
      <c r="M29" s="487"/>
      <c r="N29" s="478">
        <f t="shared" si="3"/>
        <v>0</v>
      </c>
      <c r="O29" s="478">
        <f t="shared" si="4"/>
        <v>0</v>
      </c>
      <c r="P29" s="242"/>
    </row>
    <row r="30" spans="2:16" ht="12.5">
      <c r="B30" s="160" t="str">
        <f t="shared" si="5"/>
        <v/>
      </c>
      <c r="C30" s="472">
        <f>IF(D11="","-",+C29+1)</f>
        <v>2024</v>
      </c>
      <c r="D30" s="485">
        <f>IF(F29+SUM(E$17:E29)=D$10,F29,D$10-SUM(E$17:E29))</f>
        <v>1018470.7744439454</v>
      </c>
      <c r="E30" s="484">
        <f>IF(+I14&lt;F29,I14,D30)</f>
        <v>36002.554358974354</v>
      </c>
      <c r="F30" s="485">
        <f t="shared" si="18"/>
        <v>982468.22008497105</v>
      </c>
      <c r="G30" s="486">
        <f t="shared" si="19"/>
        <v>153268.55435897436</v>
      </c>
      <c r="H30" s="455">
        <f t="shared" si="20"/>
        <v>153268.55435897436</v>
      </c>
      <c r="I30" s="475">
        <f t="shared" si="6"/>
        <v>0</v>
      </c>
      <c r="J30" s="475"/>
      <c r="K30" s="487"/>
      <c r="L30" s="478">
        <f t="shared" si="1"/>
        <v>0</v>
      </c>
      <c r="M30" s="487"/>
      <c r="N30" s="478">
        <f t="shared" si="3"/>
        <v>0</v>
      </c>
      <c r="O30" s="478">
        <f t="shared" si="4"/>
        <v>0</v>
      </c>
      <c r="P30" s="242"/>
    </row>
    <row r="31" spans="2:16" ht="12.5">
      <c r="B31" s="160" t="str">
        <f t="shared" si="5"/>
        <v/>
      </c>
      <c r="C31" s="472">
        <f>IF(D11="","-",+C30+1)</f>
        <v>2025</v>
      </c>
      <c r="D31" s="485">
        <f>IF(F30+SUM(E$17:E30)=D$10,F30,D$10-SUM(E$17:E30))</f>
        <v>982468.22008497105</v>
      </c>
      <c r="E31" s="484">
        <f>IF(+I14&lt;F30,I14,D31)</f>
        <v>36002.554358974354</v>
      </c>
      <c r="F31" s="485">
        <f t="shared" si="18"/>
        <v>946465.66572599672</v>
      </c>
      <c r="G31" s="486">
        <f t="shared" si="19"/>
        <v>148971.55435897436</v>
      </c>
      <c r="H31" s="455">
        <f t="shared" si="20"/>
        <v>148971.55435897436</v>
      </c>
      <c r="I31" s="475">
        <f t="shared" si="6"/>
        <v>0</v>
      </c>
      <c r="J31" s="475"/>
      <c r="K31" s="487"/>
      <c r="L31" s="478">
        <f t="shared" si="1"/>
        <v>0</v>
      </c>
      <c r="M31" s="487"/>
      <c r="N31" s="478">
        <f t="shared" si="3"/>
        <v>0</v>
      </c>
      <c r="O31" s="478">
        <f t="shared" si="4"/>
        <v>0</v>
      </c>
      <c r="P31" s="242"/>
    </row>
    <row r="32" spans="2:16" ht="12.5">
      <c r="B32" s="160" t="str">
        <f t="shared" si="5"/>
        <v/>
      </c>
      <c r="C32" s="472">
        <f>IF(D11="","-",+C31+1)</f>
        <v>2026</v>
      </c>
      <c r="D32" s="485">
        <f>IF(F31+SUM(E$17:E31)=D$10,F31,D$10-SUM(E$17:E31))</f>
        <v>946465.66572599672</v>
      </c>
      <c r="E32" s="484">
        <f>IF(+I14&lt;F31,I14,D32)</f>
        <v>36002.554358974354</v>
      </c>
      <c r="F32" s="485">
        <f t="shared" si="18"/>
        <v>910463.11136702239</v>
      </c>
      <c r="G32" s="486">
        <f t="shared" si="19"/>
        <v>144674.55435897436</v>
      </c>
      <c r="H32" s="455">
        <f t="shared" si="20"/>
        <v>144674.55435897436</v>
      </c>
      <c r="I32" s="475">
        <f t="shared" si="6"/>
        <v>0</v>
      </c>
      <c r="J32" s="475"/>
      <c r="K32" s="487"/>
      <c r="L32" s="478">
        <f t="shared" si="1"/>
        <v>0</v>
      </c>
      <c r="M32" s="487"/>
      <c r="N32" s="478">
        <f t="shared" si="3"/>
        <v>0</v>
      </c>
      <c r="O32" s="478">
        <f t="shared" si="4"/>
        <v>0</v>
      </c>
      <c r="P32" s="242"/>
    </row>
    <row r="33" spans="2:16" ht="12.5">
      <c r="B33" s="160" t="str">
        <f t="shared" si="5"/>
        <v/>
      </c>
      <c r="C33" s="472">
        <f>IF(D11="","-",+C32+1)</f>
        <v>2027</v>
      </c>
      <c r="D33" s="485">
        <f>IF(F32+SUM(E$17:E32)=D$10,F32,D$10-SUM(E$17:E32))</f>
        <v>910463.11136702239</v>
      </c>
      <c r="E33" s="484">
        <f>IF(+I14&lt;F32,I14,D33)</f>
        <v>36002.554358974354</v>
      </c>
      <c r="F33" s="485">
        <f t="shared" si="18"/>
        <v>874460.55700804805</v>
      </c>
      <c r="G33" s="486">
        <f t="shared" si="19"/>
        <v>140377.55435897436</v>
      </c>
      <c r="H33" s="455">
        <f t="shared" si="20"/>
        <v>140377.55435897436</v>
      </c>
      <c r="I33" s="475">
        <f t="shared" si="6"/>
        <v>0</v>
      </c>
      <c r="J33" s="475"/>
      <c r="K33" s="487"/>
      <c r="L33" s="478">
        <f t="shared" si="1"/>
        <v>0</v>
      </c>
      <c r="M33" s="487"/>
      <c r="N33" s="478">
        <f t="shared" si="3"/>
        <v>0</v>
      </c>
      <c r="O33" s="478">
        <f t="shared" si="4"/>
        <v>0</v>
      </c>
      <c r="P33" s="242"/>
    </row>
    <row r="34" spans="2:16" ht="12.5">
      <c r="B34" s="160" t="str">
        <f t="shared" si="5"/>
        <v/>
      </c>
      <c r="C34" s="472">
        <f>IF(D11="","-",+C33+1)</f>
        <v>2028</v>
      </c>
      <c r="D34" s="485">
        <f>IF(F33+SUM(E$17:E33)=D$10,F33,D$10-SUM(E$17:E33))</f>
        <v>874460.55700804805</v>
      </c>
      <c r="E34" s="484">
        <f>IF(+I14&lt;F33,I14,D34)</f>
        <v>36002.554358974354</v>
      </c>
      <c r="F34" s="485">
        <f t="shared" si="18"/>
        <v>838458.00264907372</v>
      </c>
      <c r="G34" s="486">
        <f t="shared" si="19"/>
        <v>136079.55435897436</v>
      </c>
      <c r="H34" s="455">
        <f t="shared" si="20"/>
        <v>136079.55435897436</v>
      </c>
      <c r="I34" s="475">
        <f t="shared" si="6"/>
        <v>0</v>
      </c>
      <c r="J34" s="475"/>
      <c r="K34" s="487"/>
      <c r="L34" s="478">
        <f t="shared" si="1"/>
        <v>0</v>
      </c>
      <c r="M34" s="487"/>
      <c r="N34" s="478">
        <f t="shared" si="3"/>
        <v>0</v>
      </c>
      <c r="O34" s="478">
        <f t="shared" si="4"/>
        <v>0</v>
      </c>
      <c r="P34" s="242"/>
    </row>
    <row r="35" spans="2:16" ht="12.5">
      <c r="B35" s="160" t="str">
        <f t="shared" si="5"/>
        <v/>
      </c>
      <c r="C35" s="472">
        <f>IF(D11="","-",+C34+1)</f>
        <v>2029</v>
      </c>
      <c r="D35" s="485">
        <f>IF(F34+SUM(E$17:E34)=D$10,F34,D$10-SUM(E$17:E34))</f>
        <v>838458.00264907372</v>
      </c>
      <c r="E35" s="484">
        <f>IF(+I14&lt;F34,I14,D35)</f>
        <v>36002.554358974354</v>
      </c>
      <c r="F35" s="485">
        <f t="shared" si="18"/>
        <v>802455.44829009939</v>
      </c>
      <c r="G35" s="486">
        <f t="shared" si="19"/>
        <v>131782.55435897436</v>
      </c>
      <c r="H35" s="455">
        <f t="shared" si="20"/>
        <v>131782.55435897436</v>
      </c>
      <c r="I35" s="475">
        <f t="shared" si="6"/>
        <v>0</v>
      </c>
      <c r="J35" s="475"/>
      <c r="K35" s="487"/>
      <c r="L35" s="478">
        <f t="shared" si="1"/>
        <v>0</v>
      </c>
      <c r="M35" s="487"/>
      <c r="N35" s="478">
        <f t="shared" si="3"/>
        <v>0</v>
      </c>
      <c r="O35" s="478">
        <f t="shared" si="4"/>
        <v>0</v>
      </c>
      <c r="P35" s="242"/>
    </row>
    <row r="36" spans="2:16" ht="12.5">
      <c r="B36" s="160" t="str">
        <f t="shared" si="5"/>
        <v/>
      </c>
      <c r="C36" s="472">
        <f>IF(D11="","-",+C35+1)</f>
        <v>2030</v>
      </c>
      <c r="D36" s="485">
        <f>IF(F35+SUM(E$17:E35)=D$10,F35,D$10-SUM(E$17:E35))</f>
        <v>802455.44829009939</v>
      </c>
      <c r="E36" s="484">
        <f>IF(+I14&lt;F35,I14,D36)</f>
        <v>36002.554358974354</v>
      </c>
      <c r="F36" s="485">
        <f t="shared" si="18"/>
        <v>766452.89393112506</v>
      </c>
      <c r="G36" s="486">
        <f t="shared" si="19"/>
        <v>127485.55435897436</v>
      </c>
      <c r="H36" s="455">
        <f t="shared" si="20"/>
        <v>127485.55435897436</v>
      </c>
      <c r="I36" s="475">
        <f t="shared" si="6"/>
        <v>0</v>
      </c>
      <c r="J36" s="475"/>
      <c r="K36" s="487"/>
      <c r="L36" s="478">
        <f t="shared" si="1"/>
        <v>0</v>
      </c>
      <c r="M36" s="487"/>
      <c r="N36" s="478">
        <f t="shared" si="3"/>
        <v>0</v>
      </c>
      <c r="O36" s="478">
        <f t="shared" si="4"/>
        <v>0</v>
      </c>
      <c r="P36" s="242"/>
    </row>
    <row r="37" spans="2:16" ht="12.5">
      <c r="B37" s="160" t="str">
        <f t="shared" si="5"/>
        <v/>
      </c>
      <c r="C37" s="472">
        <f>IF(D11="","-",+C36+1)</f>
        <v>2031</v>
      </c>
      <c r="D37" s="485">
        <f>IF(F36+SUM(E$17:E36)=D$10,F36,D$10-SUM(E$17:E36))</f>
        <v>766452.89393112506</v>
      </c>
      <c r="E37" s="484">
        <f>IF(+I14&lt;F36,I14,D37)</f>
        <v>36002.554358974354</v>
      </c>
      <c r="F37" s="485">
        <f t="shared" si="18"/>
        <v>730450.33957215073</v>
      </c>
      <c r="G37" s="486">
        <f t="shared" si="19"/>
        <v>123188.55435897436</v>
      </c>
      <c r="H37" s="455">
        <f t="shared" si="20"/>
        <v>123188.55435897436</v>
      </c>
      <c r="I37" s="475">
        <f t="shared" si="6"/>
        <v>0</v>
      </c>
      <c r="J37" s="475"/>
      <c r="K37" s="487"/>
      <c r="L37" s="478">
        <f t="shared" si="1"/>
        <v>0</v>
      </c>
      <c r="M37" s="487"/>
      <c r="N37" s="478">
        <f t="shared" si="3"/>
        <v>0</v>
      </c>
      <c r="O37" s="478">
        <f t="shared" si="4"/>
        <v>0</v>
      </c>
      <c r="P37" s="242"/>
    </row>
    <row r="38" spans="2:16" ht="12.5">
      <c r="B38" s="160" t="str">
        <f t="shared" si="5"/>
        <v/>
      </c>
      <c r="C38" s="472">
        <f>IF(D11="","-",+C37+1)</f>
        <v>2032</v>
      </c>
      <c r="D38" s="485">
        <f>IF(F37+SUM(E$17:E37)=D$10,F37,D$10-SUM(E$17:E37))</f>
        <v>730450.33957215073</v>
      </c>
      <c r="E38" s="484">
        <f>IF(+I14&lt;F37,I14,D38)</f>
        <v>36002.554358974354</v>
      </c>
      <c r="F38" s="485">
        <f t="shared" si="18"/>
        <v>694447.78521317639</v>
      </c>
      <c r="G38" s="486">
        <f t="shared" si="19"/>
        <v>118891.55435897436</v>
      </c>
      <c r="H38" s="455">
        <f t="shared" si="20"/>
        <v>118891.55435897436</v>
      </c>
      <c r="I38" s="475">
        <f t="shared" si="6"/>
        <v>0</v>
      </c>
      <c r="J38" s="475"/>
      <c r="K38" s="487"/>
      <c r="L38" s="478">
        <f t="shared" si="1"/>
        <v>0</v>
      </c>
      <c r="M38" s="487"/>
      <c r="N38" s="478">
        <f t="shared" si="3"/>
        <v>0</v>
      </c>
      <c r="O38" s="478">
        <f t="shared" si="4"/>
        <v>0</v>
      </c>
      <c r="P38" s="242"/>
    </row>
    <row r="39" spans="2:16" ht="12.5">
      <c r="B39" s="160" t="str">
        <f t="shared" si="5"/>
        <v/>
      </c>
      <c r="C39" s="472">
        <f>IF(D11="","-",+C38+1)</f>
        <v>2033</v>
      </c>
      <c r="D39" s="485">
        <f>IF(F38+SUM(E$17:E38)=D$10,F38,D$10-SUM(E$17:E38))</f>
        <v>694447.78521317639</v>
      </c>
      <c r="E39" s="484">
        <f>IF(+I14&lt;F38,I14,D39)</f>
        <v>36002.554358974354</v>
      </c>
      <c r="F39" s="485">
        <f t="shared" si="18"/>
        <v>658445.23085420206</v>
      </c>
      <c r="G39" s="486">
        <f t="shared" si="19"/>
        <v>114593.55435897436</v>
      </c>
      <c r="H39" s="455">
        <f t="shared" si="20"/>
        <v>114593.55435897436</v>
      </c>
      <c r="I39" s="475">
        <f t="shared" si="6"/>
        <v>0</v>
      </c>
      <c r="J39" s="475"/>
      <c r="K39" s="487"/>
      <c r="L39" s="478">
        <f t="shared" si="1"/>
        <v>0</v>
      </c>
      <c r="M39" s="487"/>
      <c r="N39" s="478">
        <f t="shared" si="3"/>
        <v>0</v>
      </c>
      <c r="O39" s="478">
        <f t="shared" si="4"/>
        <v>0</v>
      </c>
      <c r="P39" s="242"/>
    </row>
    <row r="40" spans="2:16" ht="12.5">
      <c r="B40" s="160" t="str">
        <f t="shared" si="5"/>
        <v/>
      </c>
      <c r="C40" s="472">
        <f>IF(D11="","-",+C39+1)</f>
        <v>2034</v>
      </c>
      <c r="D40" s="485">
        <f>IF(F39+SUM(E$17:E39)=D$10,F39,D$10-SUM(E$17:E39))</f>
        <v>658445.23085420206</v>
      </c>
      <c r="E40" s="484">
        <f>IF(+I14&lt;F39,I14,D40)</f>
        <v>36002.554358974354</v>
      </c>
      <c r="F40" s="485">
        <f t="shared" si="18"/>
        <v>622442.67649522773</v>
      </c>
      <c r="G40" s="486">
        <f t="shared" si="19"/>
        <v>110296.55435897436</v>
      </c>
      <c r="H40" s="455">
        <f t="shared" si="20"/>
        <v>110296.55435897436</v>
      </c>
      <c r="I40" s="475">
        <f t="shared" si="6"/>
        <v>0</v>
      </c>
      <c r="J40" s="475"/>
      <c r="K40" s="487"/>
      <c r="L40" s="478">
        <f t="shared" si="1"/>
        <v>0</v>
      </c>
      <c r="M40" s="487"/>
      <c r="N40" s="478">
        <f t="shared" si="3"/>
        <v>0</v>
      </c>
      <c r="O40" s="478">
        <f t="shared" si="4"/>
        <v>0</v>
      </c>
      <c r="P40" s="242"/>
    </row>
    <row r="41" spans="2:16" ht="12.5">
      <c r="B41" s="160" t="str">
        <f t="shared" si="5"/>
        <v/>
      </c>
      <c r="C41" s="472">
        <f>IF(D11="","-",+C40+1)</f>
        <v>2035</v>
      </c>
      <c r="D41" s="485">
        <f>IF(F40+SUM(E$17:E40)=D$10,F40,D$10-SUM(E$17:E40))</f>
        <v>622442.67649522773</v>
      </c>
      <c r="E41" s="484">
        <f>IF(+I14&lt;F40,I14,D41)</f>
        <v>36002.554358974354</v>
      </c>
      <c r="F41" s="485">
        <f t="shared" si="18"/>
        <v>586440.1221362534</v>
      </c>
      <c r="G41" s="486">
        <f t="shared" si="19"/>
        <v>105999.55435897436</v>
      </c>
      <c r="H41" s="455">
        <f t="shared" si="20"/>
        <v>105999.55435897436</v>
      </c>
      <c r="I41" s="475">
        <f t="shared" si="6"/>
        <v>0</v>
      </c>
      <c r="J41" s="475"/>
      <c r="K41" s="487"/>
      <c r="L41" s="478">
        <f t="shared" si="1"/>
        <v>0</v>
      </c>
      <c r="M41" s="487"/>
      <c r="N41" s="478">
        <f t="shared" si="3"/>
        <v>0</v>
      </c>
      <c r="O41" s="478">
        <f t="shared" si="4"/>
        <v>0</v>
      </c>
      <c r="P41" s="242"/>
    </row>
    <row r="42" spans="2:16" ht="12.5">
      <c r="B42" s="160" t="str">
        <f t="shared" si="5"/>
        <v/>
      </c>
      <c r="C42" s="472">
        <f>IF(D11="","-",+C41+1)</f>
        <v>2036</v>
      </c>
      <c r="D42" s="485">
        <f>IF(F41+SUM(E$17:E41)=D$10,F41,D$10-SUM(E$17:E41))</f>
        <v>586440.1221362534</v>
      </c>
      <c r="E42" s="484">
        <f>IF(+I14&lt;F41,I14,D42)</f>
        <v>36002.554358974354</v>
      </c>
      <c r="F42" s="485">
        <f t="shared" si="18"/>
        <v>550437.56777727907</v>
      </c>
      <c r="G42" s="486">
        <f t="shared" si="19"/>
        <v>101702.55435897436</v>
      </c>
      <c r="H42" s="455">
        <f t="shared" si="20"/>
        <v>101702.55435897436</v>
      </c>
      <c r="I42" s="475">
        <f t="shared" si="6"/>
        <v>0</v>
      </c>
      <c r="J42" s="475"/>
      <c r="K42" s="487"/>
      <c r="L42" s="478">
        <f t="shared" si="1"/>
        <v>0</v>
      </c>
      <c r="M42" s="487"/>
      <c r="N42" s="478">
        <f t="shared" si="3"/>
        <v>0</v>
      </c>
      <c r="O42" s="478">
        <f t="shared" si="4"/>
        <v>0</v>
      </c>
      <c r="P42" s="242"/>
    </row>
    <row r="43" spans="2:16" ht="12.5">
      <c r="B43" s="160" t="str">
        <f t="shared" si="5"/>
        <v/>
      </c>
      <c r="C43" s="472">
        <f>IF(D11="","-",+C42+1)</f>
        <v>2037</v>
      </c>
      <c r="D43" s="485">
        <f>IF(F42+SUM(E$17:E42)=D$10,F42,D$10-SUM(E$17:E42))</f>
        <v>550437.56777727907</v>
      </c>
      <c r="E43" s="484">
        <f>IF(+I14&lt;F42,I14,D43)</f>
        <v>36002.554358974354</v>
      </c>
      <c r="F43" s="485">
        <f t="shared" si="18"/>
        <v>514435.01341830473</v>
      </c>
      <c r="G43" s="486">
        <f t="shared" si="19"/>
        <v>97404.554358974361</v>
      </c>
      <c r="H43" s="455">
        <f t="shared" si="20"/>
        <v>97404.554358974361</v>
      </c>
      <c r="I43" s="475">
        <f t="shared" si="6"/>
        <v>0</v>
      </c>
      <c r="J43" s="475"/>
      <c r="K43" s="487"/>
      <c r="L43" s="478">
        <f t="shared" si="1"/>
        <v>0</v>
      </c>
      <c r="M43" s="487"/>
      <c r="N43" s="478">
        <f t="shared" si="3"/>
        <v>0</v>
      </c>
      <c r="O43" s="478">
        <f t="shared" si="4"/>
        <v>0</v>
      </c>
      <c r="P43" s="242"/>
    </row>
    <row r="44" spans="2:16" ht="12.5">
      <c r="B44" s="160" t="str">
        <f t="shared" si="5"/>
        <v/>
      </c>
      <c r="C44" s="472">
        <f>IF(D11="","-",+C43+1)</f>
        <v>2038</v>
      </c>
      <c r="D44" s="485">
        <f>IF(F43+SUM(E$17:E43)=D$10,F43,D$10-SUM(E$17:E43))</f>
        <v>514435.01341830473</v>
      </c>
      <c r="E44" s="484">
        <f>IF(+I14&lt;F43,I14,D44)</f>
        <v>36002.554358974354</v>
      </c>
      <c r="F44" s="485">
        <f t="shared" si="18"/>
        <v>478432.4590593304</v>
      </c>
      <c r="G44" s="486">
        <f t="shared" si="19"/>
        <v>93107.554358974361</v>
      </c>
      <c r="H44" s="455">
        <f t="shared" si="20"/>
        <v>93107.554358974361</v>
      </c>
      <c r="I44" s="475">
        <f t="shared" si="6"/>
        <v>0</v>
      </c>
      <c r="J44" s="475"/>
      <c r="K44" s="487"/>
      <c r="L44" s="478">
        <f t="shared" si="1"/>
        <v>0</v>
      </c>
      <c r="M44" s="487"/>
      <c r="N44" s="478">
        <f t="shared" si="3"/>
        <v>0</v>
      </c>
      <c r="O44" s="478">
        <f t="shared" si="4"/>
        <v>0</v>
      </c>
      <c r="P44" s="242"/>
    </row>
    <row r="45" spans="2:16" ht="12.5">
      <c r="B45" s="160" t="str">
        <f t="shared" si="5"/>
        <v/>
      </c>
      <c r="C45" s="472">
        <f>IF(D11="","-",+C44+1)</f>
        <v>2039</v>
      </c>
      <c r="D45" s="485">
        <f>IF(F44+SUM(E$17:E44)=D$10,F44,D$10-SUM(E$17:E44))</f>
        <v>478432.4590593304</v>
      </c>
      <c r="E45" s="484">
        <f>IF(+I14&lt;F44,I14,D45)</f>
        <v>36002.554358974354</v>
      </c>
      <c r="F45" s="485">
        <f t="shared" si="18"/>
        <v>442429.90470035607</v>
      </c>
      <c r="G45" s="486">
        <f t="shared" si="19"/>
        <v>88810.554358974361</v>
      </c>
      <c r="H45" s="455">
        <f t="shared" si="20"/>
        <v>88810.554358974361</v>
      </c>
      <c r="I45" s="475">
        <f t="shared" si="6"/>
        <v>0</v>
      </c>
      <c r="J45" s="475"/>
      <c r="K45" s="487"/>
      <c r="L45" s="478">
        <f t="shared" si="1"/>
        <v>0</v>
      </c>
      <c r="M45" s="487"/>
      <c r="N45" s="478">
        <f t="shared" si="3"/>
        <v>0</v>
      </c>
      <c r="O45" s="478">
        <f t="shared" si="4"/>
        <v>0</v>
      </c>
      <c r="P45" s="242"/>
    </row>
    <row r="46" spans="2:16" ht="12.5">
      <c r="B46" s="160" t="str">
        <f t="shared" si="5"/>
        <v/>
      </c>
      <c r="C46" s="472">
        <f>IF(D11="","-",+C45+1)</f>
        <v>2040</v>
      </c>
      <c r="D46" s="485">
        <f>IF(F45+SUM(E$17:E45)=D$10,F45,D$10-SUM(E$17:E45))</f>
        <v>442429.90470035607</v>
      </c>
      <c r="E46" s="484">
        <f>IF(+I14&lt;F45,I14,D46)</f>
        <v>36002.554358974354</v>
      </c>
      <c r="F46" s="485">
        <f t="shared" si="18"/>
        <v>406427.35034138174</v>
      </c>
      <c r="G46" s="486">
        <f t="shared" si="19"/>
        <v>84513.554358974361</v>
      </c>
      <c r="H46" s="455">
        <f t="shared" si="20"/>
        <v>84513.554358974361</v>
      </c>
      <c r="I46" s="475">
        <f t="shared" si="6"/>
        <v>0</v>
      </c>
      <c r="J46" s="475"/>
      <c r="K46" s="487"/>
      <c r="L46" s="478">
        <f t="shared" si="1"/>
        <v>0</v>
      </c>
      <c r="M46" s="487"/>
      <c r="N46" s="478">
        <f t="shared" si="3"/>
        <v>0</v>
      </c>
      <c r="O46" s="478">
        <f t="shared" si="4"/>
        <v>0</v>
      </c>
      <c r="P46" s="242"/>
    </row>
    <row r="47" spans="2:16" ht="12.5">
      <c r="B47" s="160" t="str">
        <f t="shared" si="5"/>
        <v/>
      </c>
      <c r="C47" s="472">
        <f>IF(D11="","-",+C46+1)</f>
        <v>2041</v>
      </c>
      <c r="D47" s="485">
        <f>IF(F46+SUM(E$17:E46)=D$10,F46,D$10-SUM(E$17:E46))</f>
        <v>406427.35034138174</v>
      </c>
      <c r="E47" s="484">
        <f>IF(+I14&lt;F46,I14,D47)</f>
        <v>36002.554358974354</v>
      </c>
      <c r="F47" s="485">
        <f t="shared" si="18"/>
        <v>370424.79598240741</v>
      </c>
      <c r="G47" s="486">
        <f t="shared" si="19"/>
        <v>80216.554358974361</v>
      </c>
      <c r="H47" s="455">
        <f t="shared" si="20"/>
        <v>80216.554358974361</v>
      </c>
      <c r="I47" s="475">
        <f t="shared" si="6"/>
        <v>0</v>
      </c>
      <c r="J47" s="475"/>
      <c r="K47" s="487"/>
      <c r="L47" s="478">
        <f t="shared" si="1"/>
        <v>0</v>
      </c>
      <c r="M47" s="487"/>
      <c r="N47" s="478">
        <f t="shared" si="3"/>
        <v>0</v>
      </c>
      <c r="O47" s="478">
        <f t="shared" si="4"/>
        <v>0</v>
      </c>
      <c r="P47" s="242"/>
    </row>
    <row r="48" spans="2:16" ht="12.5">
      <c r="B48" s="160" t="str">
        <f t="shared" si="5"/>
        <v/>
      </c>
      <c r="C48" s="472">
        <f>IF(D11="","-",+C47+1)</f>
        <v>2042</v>
      </c>
      <c r="D48" s="485">
        <f>IF(F47+SUM(E$17:E47)=D$10,F47,D$10-SUM(E$17:E47))</f>
        <v>370424.79598240741</v>
      </c>
      <c r="E48" s="484">
        <f>IF(+I14&lt;F47,I14,D48)</f>
        <v>36002.554358974354</v>
      </c>
      <c r="F48" s="485">
        <f t="shared" si="18"/>
        <v>334422.24162343307</v>
      </c>
      <c r="G48" s="486">
        <f t="shared" si="19"/>
        <v>75918.554358974361</v>
      </c>
      <c r="H48" s="455">
        <f t="shared" si="20"/>
        <v>75918.554358974361</v>
      </c>
      <c r="I48" s="475">
        <f t="shared" si="6"/>
        <v>0</v>
      </c>
      <c r="J48" s="475"/>
      <c r="K48" s="487"/>
      <c r="L48" s="478">
        <f t="shared" si="1"/>
        <v>0</v>
      </c>
      <c r="M48" s="487"/>
      <c r="N48" s="478">
        <f t="shared" si="3"/>
        <v>0</v>
      </c>
      <c r="O48" s="478">
        <f t="shared" si="4"/>
        <v>0</v>
      </c>
      <c r="P48" s="242"/>
    </row>
    <row r="49" spans="2:16" ht="12.5">
      <c r="B49" s="160" t="str">
        <f t="shared" si="5"/>
        <v/>
      </c>
      <c r="C49" s="472">
        <f>IF(D11="","-",+C48+1)</f>
        <v>2043</v>
      </c>
      <c r="D49" s="485">
        <f>IF(F48+SUM(E$17:E48)=D$10,F48,D$10-SUM(E$17:E48))</f>
        <v>334422.24162343307</v>
      </c>
      <c r="E49" s="484">
        <f>IF(+I14&lt;F48,I14,D49)</f>
        <v>36002.554358974354</v>
      </c>
      <c r="F49" s="485">
        <f t="shared" si="18"/>
        <v>298419.68726445874</v>
      </c>
      <c r="G49" s="486">
        <f t="shared" si="19"/>
        <v>71621.554358974361</v>
      </c>
      <c r="H49" s="455">
        <f t="shared" si="20"/>
        <v>71621.554358974361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 ht="12.5">
      <c r="B50" s="160" t="str">
        <f t="shared" ref="B50:B72" si="25">IF(D50=F49,"","IU")</f>
        <v/>
      </c>
      <c r="C50" s="472">
        <f>IF(D11="","-",+C49+1)</f>
        <v>2044</v>
      </c>
      <c r="D50" s="485">
        <f>IF(F49+SUM(E$17:E49)=D$10,F49,D$10-SUM(E$17:E49))</f>
        <v>298419.68726445874</v>
      </c>
      <c r="E50" s="484">
        <f>IF(+I14&lt;F49,I14,D50)</f>
        <v>36002.554358974354</v>
      </c>
      <c r="F50" s="485">
        <f t="shared" ref="F50:F72" si="26">+D50-E50</f>
        <v>262417.13290548441</v>
      </c>
      <c r="G50" s="486">
        <f t="shared" ref="G50:G72" si="27">ROUND(I$12*F50,0)+E50</f>
        <v>67324.554358974361</v>
      </c>
      <c r="H50" s="455">
        <f t="shared" ref="H50:H72" si="28">ROUND(I$13*F50,0)+E50</f>
        <v>67324.554358974361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 ht="12.5">
      <c r="B51" s="160" t="str">
        <f t="shared" si="25"/>
        <v/>
      </c>
      <c r="C51" s="472">
        <f>IF(D11="","-",+C50+1)</f>
        <v>2045</v>
      </c>
      <c r="D51" s="485">
        <f>IF(F50+SUM(E$17:E50)=D$10,F50,D$10-SUM(E$17:E50))</f>
        <v>262417.13290548441</v>
      </c>
      <c r="E51" s="484">
        <f>IF(+I14&lt;F50,I14,D51)</f>
        <v>36002.554358974354</v>
      </c>
      <c r="F51" s="485">
        <f t="shared" si="26"/>
        <v>226414.57854651005</v>
      </c>
      <c r="G51" s="486">
        <f t="shared" si="27"/>
        <v>63027.554358974354</v>
      </c>
      <c r="H51" s="455">
        <f t="shared" si="28"/>
        <v>63027.554358974354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 ht="12.5">
      <c r="B52" s="160" t="str">
        <f t="shared" si="25"/>
        <v/>
      </c>
      <c r="C52" s="472">
        <f>IF(D11="","-",+C51+1)</f>
        <v>2046</v>
      </c>
      <c r="D52" s="485">
        <f>IF(F51+SUM(E$17:E51)=D$10,F51,D$10-SUM(E$17:E51))</f>
        <v>226414.57854651005</v>
      </c>
      <c r="E52" s="484">
        <f>IF(+I14&lt;F51,I14,D52)</f>
        <v>36002.554358974354</v>
      </c>
      <c r="F52" s="485">
        <f t="shared" si="26"/>
        <v>190412.02418753569</v>
      </c>
      <c r="G52" s="486">
        <f t="shared" si="27"/>
        <v>58729.554358974354</v>
      </c>
      <c r="H52" s="455">
        <f t="shared" si="28"/>
        <v>58729.554358974354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 ht="12.5">
      <c r="B53" s="160" t="str">
        <f t="shared" si="25"/>
        <v/>
      </c>
      <c r="C53" s="472">
        <f>IF(D11="","-",+C52+1)</f>
        <v>2047</v>
      </c>
      <c r="D53" s="485">
        <f>IF(F52+SUM(E$17:E52)=D$10,F52,D$10-SUM(E$17:E52))</f>
        <v>190412.02418753569</v>
      </c>
      <c r="E53" s="484">
        <f>IF(+I14&lt;F52,I14,D53)</f>
        <v>36002.554358974354</v>
      </c>
      <c r="F53" s="485">
        <f t="shared" si="26"/>
        <v>154409.46982856133</v>
      </c>
      <c r="G53" s="486">
        <f t="shared" si="27"/>
        <v>54432.554358974354</v>
      </c>
      <c r="H53" s="455">
        <f t="shared" si="28"/>
        <v>54432.554358974354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 ht="12.5">
      <c r="B54" s="160" t="str">
        <f t="shared" si="25"/>
        <v/>
      </c>
      <c r="C54" s="472">
        <f>IF(D11="","-",+C53+1)</f>
        <v>2048</v>
      </c>
      <c r="D54" s="485">
        <f>IF(F53+SUM(E$17:E53)=D$10,F53,D$10-SUM(E$17:E53))</f>
        <v>154409.46982856133</v>
      </c>
      <c r="E54" s="484">
        <f>IF(+I14&lt;F53,I14,D54)</f>
        <v>36002.554358974354</v>
      </c>
      <c r="F54" s="485">
        <f t="shared" si="26"/>
        <v>118406.91546958697</v>
      </c>
      <c r="G54" s="486">
        <f t="shared" si="27"/>
        <v>50135.554358974354</v>
      </c>
      <c r="H54" s="455">
        <f t="shared" si="28"/>
        <v>50135.554358974354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 ht="12.5">
      <c r="B55" s="160" t="str">
        <f t="shared" si="25"/>
        <v/>
      </c>
      <c r="C55" s="472">
        <f>IF(D11="","-",+C54+1)</f>
        <v>2049</v>
      </c>
      <c r="D55" s="485">
        <f>IF(F54+SUM(E$17:E54)=D$10,F54,D$10-SUM(E$17:E54))</f>
        <v>118406.91546958697</v>
      </c>
      <c r="E55" s="484">
        <f>IF(+I14&lt;F54,I14,D55)</f>
        <v>36002.554358974354</v>
      </c>
      <c r="F55" s="485">
        <f t="shared" si="26"/>
        <v>82404.361110612605</v>
      </c>
      <c r="G55" s="486">
        <f t="shared" si="27"/>
        <v>45838.554358974354</v>
      </c>
      <c r="H55" s="455">
        <f t="shared" si="28"/>
        <v>45838.554358974354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 ht="12.5">
      <c r="B56" s="160" t="str">
        <f t="shared" si="25"/>
        <v/>
      </c>
      <c r="C56" s="472">
        <f>IF(D11="","-",+C55+1)</f>
        <v>2050</v>
      </c>
      <c r="D56" s="485">
        <f>IF(F55+SUM(E$17:E55)=D$10,F55,D$10-SUM(E$17:E55))</f>
        <v>82404.361110612605</v>
      </c>
      <c r="E56" s="484">
        <f>IF(+I14&lt;F55,I14,D56)</f>
        <v>36002.554358974354</v>
      </c>
      <c r="F56" s="485">
        <f t="shared" si="26"/>
        <v>46401.806751638251</v>
      </c>
      <c r="G56" s="486">
        <f t="shared" si="27"/>
        <v>41540.554358974354</v>
      </c>
      <c r="H56" s="455">
        <f t="shared" si="28"/>
        <v>41540.554358974354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 ht="12.5">
      <c r="B57" s="160" t="str">
        <f t="shared" si="25"/>
        <v/>
      </c>
      <c r="C57" s="472">
        <f>IF(D11="","-",+C56+1)</f>
        <v>2051</v>
      </c>
      <c r="D57" s="485">
        <f>IF(F56+SUM(E$17:E56)=D$10,F56,D$10-SUM(E$17:E56))</f>
        <v>46401.806751638251</v>
      </c>
      <c r="E57" s="484">
        <f>IF(+I14&lt;F56,I14,D57)</f>
        <v>36002.554358974354</v>
      </c>
      <c r="F57" s="485">
        <f t="shared" si="26"/>
        <v>10399.252392663897</v>
      </c>
      <c r="G57" s="486">
        <f t="shared" si="27"/>
        <v>37243.554358974354</v>
      </c>
      <c r="H57" s="455">
        <f t="shared" si="28"/>
        <v>37243.554358974354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 ht="12.5">
      <c r="B58" s="160" t="str">
        <f t="shared" si="25"/>
        <v/>
      </c>
      <c r="C58" s="472">
        <f>IF(D11="","-",+C57+1)</f>
        <v>2052</v>
      </c>
      <c r="D58" s="485">
        <f>IF(F57+SUM(E$17:E57)=D$10,F57,D$10-SUM(E$17:E57))</f>
        <v>10399.252392663897</v>
      </c>
      <c r="E58" s="484">
        <f>IF(+I14&lt;F57,I14,D58)</f>
        <v>10399.252392663897</v>
      </c>
      <c r="F58" s="485">
        <f t="shared" si="26"/>
        <v>0</v>
      </c>
      <c r="G58" s="486">
        <f t="shared" si="27"/>
        <v>10399.252392663897</v>
      </c>
      <c r="H58" s="455">
        <f t="shared" si="28"/>
        <v>10399.252392663897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 ht="12.5">
      <c r="B59" s="160" t="str">
        <f t="shared" si="25"/>
        <v/>
      </c>
      <c r="C59" s="472">
        <f>IF(D11="","-",+C58+1)</f>
        <v>2053</v>
      </c>
      <c r="D59" s="485">
        <f>IF(F58+SUM(E$17:E58)=D$10,F58,D$10-SUM(E$17:E58))</f>
        <v>0</v>
      </c>
      <c r="E59" s="484">
        <f>IF(+I14&lt;F58,I14,D59)</f>
        <v>0</v>
      </c>
      <c r="F59" s="485">
        <f t="shared" si="26"/>
        <v>0</v>
      </c>
      <c r="G59" s="486">
        <f t="shared" si="27"/>
        <v>0</v>
      </c>
      <c r="H59" s="455">
        <f t="shared" si="28"/>
        <v>0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 ht="12.5">
      <c r="B60" s="160" t="str">
        <f t="shared" si="25"/>
        <v/>
      </c>
      <c r="C60" s="472">
        <f>IF(D11="","-",+C59+1)</f>
        <v>2054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6"/>
        <v>0</v>
      </c>
      <c r="G60" s="486">
        <f t="shared" si="27"/>
        <v>0</v>
      </c>
      <c r="H60" s="455">
        <f t="shared" si="28"/>
        <v>0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 ht="12.5">
      <c r="B61" s="160" t="str">
        <f t="shared" si="25"/>
        <v/>
      </c>
      <c r="C61" s="472">
        <f>IF(D11="","-",+C60+1)</f>
        <v>2055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6"/>
        <v>0</v>
      </c>
      <c r="G61" s="488">
        <f t="shared" si="27"/>
        <v>0</v>
      </c>
      <c r="H61" s="455">
        <f t="shared" si="28"/>
        <v>0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 ht="12.5">
      <c r="B62" s="160" t="str">
        <f t="shared" si="25"/>
        <v/>
      </c>
      <c r="C62" s="472">
        <f>IF(D11="","-",+C61+1)</f>
        <v>2056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6"/>
        <v>0</v>
      </c>
      <c r="G62" s="488">
        <f t="shared" si="27"/>
        <v>0</v>
      </c>
      <c r="H62" s="455">
        <f t="shared" si="28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 ht="12.5">
      <c r="B63" s="160" t="str">
        <f t="shared" si="25"/>
        <v/>
      </c>
      <c r="C63" s="472">
        <f>IF(D11="","-",+C62+1)</f>
        <v>2057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6"/>
        <v>0</v>
      </c>
      <c r="G63" s="488">
        <f t="shared" si="27"/>
        <v>0</v>
      </c>
      <c r="H63" s="455">
        <f t="shared" si="28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 ht="12.5">
      <c r="B64" s="160" t="str">
        <f t="shared" si="25"/>
        <v/>
      </c>
      <c r="C64" s="472">
        <f>IF(D11="","-",+C63+1)</f>
        <v>2058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6"/>
        <v>0</v>
      </c>
      <c r="G64" s="488">
        <f t="shared" si="27"/>
        <v>0</v>
      </c>
      <c r="H64" s="455">
        <f t="shared" si="28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 ht="12.5">
      <c r="B65" s="160" t="str">
        <f t="shared" si="25"/>
        <v/>
      </c>
      <c r="C65" s="472">
        <f>IF(D11="","-",+C64+1)</f>
        <v>2059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6"/>
        <v>0</v>
      </c>
      <c r="G65" s="488">
        <f t="shared" si="27"/>
        <v>0</v>
      </c>
      <c r="H65" s="455">
        <f t="shared" si="28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 ht="12.5">
      <c r="B66" s="160" t="str">
        <f t="shared" si="25"/>
        <v/>
      </c>
      <c r="C66" s="472">
        <f>IF(D11="","-",+C65+1)</f>
        <v>2060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6"/>
        <v>0</v>
      </c>
      <c r="G66" s="488">
        <f t="shared" si="27"/>
        <v>0</v>
      </c>
      <c r="H66" s="455">
        <f t="shared" si="28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 ht="12.5">
      <c r="B67" s="160" t="str">
        <f t="shared" si="25"/>
        <v/>
      </c>
      <c r="C67" s="472">
        <f>IF(D11="","-",+C66+1)</f>
        <v>2061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6"/>
        <v>0</v>
      </c>
      <c r="G67" s="488">
        <f t="shared" si="27"/>
        <v>0</v>
      </c>
      <c r="H67" s="455">
        <f t="shared" si="28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 ht="12.5">
      <c r="B68" s="160" t="str">
        <f t="shared" si="25"/>
        <v/>
      </c>
      <c r="C68" s="472">
        <f>IF(D11="","-",+C67+1)</f>
        <v>2062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6"/>
        <v>0</v>
      </c>
      <c r="G68" s="488">
        <f t="shared" si="27"/>
        <v>0</v>
      </c>
      <c r="H68" s="455">
        <f t="shared" si="28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 ht="12.5">
      <c r="B69" s="160" t="str">
        <f t="shared" si="25"/>
        <v/>
      </c>
      <c r="C69" s="472">
        <f>IF(D11="","-",+C68+1)</f>
        <v>2063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6"/>
        <v>0</v>
      </c>
      <c r="G69" s="488">
        <f t="shared" si="27"/>
        <v>0</v>
      </c>
      <c r="H69" s="455">
        <f t="shared" si="28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 ht="12.5">
      <c r="B70" s="160" t="str">
        <f t="shared" si="25"/>
        <v/>
      </c>
      <c r="C70" s="472">
        <f>IF(D11="","-",+C69+1)</f>
        <v>2064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6"/>
        <v>0</v>
      </c>
      <c r="G70" s="488">
        <f t="shared" si="27"/>
        <v>0</v>
      </c>
      <c r="H70" s="455">
        <f t="shared" si="28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 ht="12.5">
      <c r="B71" s="160" t="str">
        <f t="shared" si="25"/>
        <v/>
      </c>
      <c r="C71" s="472">
        <f>IF(D11="","-",+C70+1)</f>
        <v>2065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6"/>
        <v>0</v>
      </c>
      <c r="G71" s="488">
        <f t="shared" si="27"/>
        <v>0</v>
      </c>
      <c r="H71" s="455">
        <f t="shared" si="28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" thickBot="1">
      <c r="B72" s="160" t="str">
        <f t="shared" si="25"/>
        <v/>
      </c>
      <c r="C72" s="489">
        <f>IF(D11="","-",+C71+1)</f>
        <v>2066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6"/>
        <v>0</v>
      </c>
      <c r="G72" s="492">
        <f t="shared" si="27"/>
        <v>0</v>
      </c>
      <c r="H72" s="435">
        <f t="shared" si="28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 ht="12.5">
      <c r="C73" s="346" t="s">
        <v>77</v>
      </c>
      <c r="D73" s="347"/>
      <c r="E73" s="347">
        <f>SUM(E17:E72)</f>
        <v>1404099.6199999996</v>
      </c>
      <c r="F73" s="347"/>
      <c r="G73" s="347">
        <f>SUM(G17:G72)</f>
        <v>5137902.6570557794</v>
      </c>
      <c r="H73" s="347">
        <f>SUM(H17:H72)</f>
        <v>5137902.6570557794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11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149953.47953488372</v>
      </c>
      <c r="N87" s="508">
        <f>IF(J92&lt;D11,0,VLOOKUP(J92,C17:O72,11))</f>
        <v>149953.47953488372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159544.11150802768</v>
      </c>
      <c r="N88" s="512">
        <f>IF(J92&lt;D11,0,VLOOKUP(J92,C99:P154,7))</f>
        <v>159544.11150802768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Bartlesville SE to Coffeyville T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9590.631973143958</v>
      </c>
      <c r="N89" s="517">
        <f>+N88-N87</f>
        <v>9590.631973143958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TP2008079-PSO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D10</f>
        <v>1404099.6199999999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34246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2011</v>
      </c>
      <c r="D99" s="473">
        <v>0</v>
      </c>
      <c r="E99" s="480">
        <v>13815</v>
      </c>
      <c r="F99" s="573">
        <v>1422922</v>
      </c>
      <c r="G99" s="537">
        <v>711461</v>
      </c>
      <c r="H99" s="539">
        <v>113286.80836539247</v>
      </c>
      <c r="I99" s="539">
        <v>113286.80836539247</v>
      </c>
      <c r="J99" s="478">
        <f t="shared" ref="J99:J130" si="29">+I99-H99</f>
        <v>0</v>
      </c>
      <c r="K99" s="574"/>
      <c r="L99" s="567">
        <f t="shared" ref="L99:L104" si="30">H99</f>
        <v>113286.80836539247</v>
      </c>
      <c r="M99" s="575">
        <f t="shared" ref="M99:M130" si="31">IF(L99&lt;&gt;0,+H99-L99,0)</f>
        <v>0</v>
      </c>
      <c r="N99" s="567">
        <f t="shared" ref="N99:N104" si="32">I99</f>
        <v>113286.80836539247</v>
      </c>
      <c r="O99" s="477">
        <f t="shared" ref="O99:O130" si="33">IF(N99&lt;&gt;0,+I99-N99,0)</f>
        <v>0</v>
      </c>
      <c r="P99" s="348">
        <f t="shared" ref="P99:P130" si="34">+O99-M99</f>
        <v>0</v>
      </c>
    </row>
    <row r="100" spans="1:16" ht="12.5">
      <c r="B100" s="160" t="str">
        <f t="shared" ref="B100:B131" si="35">IF(D100=F99,"","IU")</f>
        <v>IU</v>
      </c>
      <c r="C100" s="472">
        <f>IF(D93="","-",+C99+1)</f>
        <v>2012</v>
      </c>
      <c r="D100" s="473">
        <v>1479908</v>
      </c>
      <c r="E100" s="480">
        <v>28725</v>
      </c>
      <c r="F100" s="573">
        <v>1451183</v>
      </c>
      <c r="G100" s="479">
        <v>1465545.5</v>
      </c>
      <c r="H100" s="539">
        <v>239551.75399863988</v>
      </c>
      <c r="I100" s="539">
        <v>239551.75399863988</v>
      </c>
      <c r="J100" s="478">
        <v>0</v>
      </c>
      <c r="K100" s="574"/>
      <c r="L100" s="540">
        <f t="shared" si="30"/>
        <v>239551.75399863988</v>
      </c>
      <c r="M100" s="575">
        <f t="shared" ref="M100:M105" si="36">IF(L100&lt;&gt;0,+H100-L100,0)</f>
        <v>0</v>
      </c>
      <c r="N100" s="540">
        <f t="shared" si="32"/>
        <v>239551.75399863988</v>
      </c>
      <c r="O100" s="478">
        <f t="shared" ref="O100:O105" si="37">IF(N100&lt;&gt;0,+I100-N100,0)</f>
        <v>0</v>
      </c>
      <c r="P100" s="348">
        <f t="shared" ref="P100:P105" si="38">+O100-M100</f>
        <v>0</v>
      </c>
    </row>
    <row r="101" spans="1:16" ht="12.5">
      <c r="B101" s="160" t="str">
        <f t="shared" si="35"/>
        <v/>
      </c>
      <c r="C101" s="472">
        <f>IF(D93="","-",+C100+1)</f>
        <v>2013</v>
      </c>
      <c r="D101" s="473">
        <v>1451183</v>
      </c>
      <c r="E101" s="480">
        <v>28725</v>
      </c>
      <c r="F101" s="573">
        <v>1422458</v>
      </c>
      <c r="G101" s="479">
        <v>1436820.5</v>
      </c>
      <c r="H101" s="539">
        <v>235540.35933406017</v>
      </c>
      <c r="I101" s="539">
        <v>235540.35933406017</v>
      </c>
      <c r="J101" s="478">
        <v>0</v>
      </c>
      <c r="K101" s="574"/>
      <c r="L101" s="540">
        <f t="shared" si="30"/>
        <v>235540.35933406017</v>
      </c>
      <c r="M101" s="575">
        <f t="shared" si="36"/>
        <v>0</v>
      </c>
      <c r="N101" s="540">
        <f t="shared" si="32"/>
        <v>235540.35933406017</v>
      </c>
      <c r="O101" s="478">
        <f t="shared" si="37"/>
        <v>0</v>
      </c>
      <c r="P101" s="348">
        <f t="shared" si="38"/>
        <v>0</v>
      </c>
    </row>
    <row r="102" spans="1:16" ht="12.5">
      <c r="B102" s="160" t="str">
        <f t="shared" si="35"/>
        <v>IU</v>
      </c>
      <c r="C102" s="472">
        <f>IF(D93="","-",+C101+1)</f>
        <v>2014</v>
      </c>
      <c r="D102" s="473">
        <v>1332834.6199999999</v>
      </c>
      <c r="E102" s="480">
        <v>27002</v>
      </c>
      <c r="F102" s="573">
        <v>1305832.6199999999</v>
      </c>
      <c r="G102" s="479">
        <v>1319333.6199999999</v>
      </c>
      <c r="H102" s="539">
        <v>212494.91385632072</v>
      </c>
      <c r="I102" s="539">
        <v>212494.91385632072</v>
      </c>
      <c r="J102" s="478">
        <v>0</v>
      </c>
      <c r="K102" s="574"/>
      <c r="L102" s="540">
        <f t="shared" si="30"/>
        <v>212494.91385632072</v>
      </c>
      <c r="M102" s="575">
        <f t="shared" si="36"/>
        <v>0</v>
      </c>
      <c r="N102" s="540">
        <f t="shared" si="32"/>
        <v>212494.91385632072</v>
      </c>
      <c r="O102" s="478">
        <f t="shared" si="37"/>
        <v>0</v>
      </c>
      <c r="P102" s="348">
        <f t="shared" si="38"/>
        <v>0</v>
      </c>
    </row>
    <row r="103" spans="1:16" ht="12.5">
      <c r="B103" s="160" t="str">
        <f t="shared" si="35"/>
        <v/>
      </c>
      <c r="C103" s="472">
        <f>IF(D93="","-",+C102+1)</f>
        <v>2015</v>
      </c>
      <c r="D103" s="473">
        <v>1305832.6199999999</v>
      </c>
      <c r="E103" s="480">
        <v>27002</v>
      </c>
      <c r="F103" s="573">
        <v>1278830.6199999999</v>
      </c>
      <c r="G103" s="479">
        <v>1292331.6199999999</v>
      </c>
      <c r="H103" s="539">
        <v>203330.25869072074</v>
      </c>
      <c r="I103" s="539">
        <v>203330.25869072074</v>
      </c>
      <c r="J103" s="478">
        <f t="shared" si="29"/>
        <v>0</v>
      </c>
      <c r="K103" s="574"/>
      <c r="L103" s="540">
        <f t="shared" si="30"/>
        <v>203330.25869072074</v>
      </c>
      <c r="M103" s="575">
        <f t="shared" si="36"/>
        <v>0</v>
      </c>
      <c r="N103" s="540">
        <f t="shared" si="32"/>
        <v>203330.25869072074</v>
      </c>
      <c r="O103" s="478">
        <f t="shared" si="37"/>
        <v>0</v>
      </c>
      <c r="P103" s="348">
        <f t="shared" si="38"/>
        <v>0</v>
      </c>
    </row>
    <row r="104" spans="1:16" ht="12.5">
      <c r="B104" s="160" t="str">
        <f t="shared" si="35"/>
        <v/>
      </c>
      <c r="C104" s="472">
        <f>IF(D93="","-",+C103+1)</f>
        <v>2016</v>
      </c>
      <c r="D104" s="473">
        <v>1278830.6199999999</v>
      </c>
      <c r="E104" s="480">
        <v>30524</v>
      </c>
      <c r="F104" s="573">
        <v>1248306.6199999999</v>
      </c>
      <c r="G104" s="479">
        <v>1263568.6199999999</v>
      </c>
      <c r="H104" s="539">
        <v>193417.89490142919</v>
      </c>
      <c r="I104" s="539">
        <v>193417.89490142919</v>
      </c>
      <c r="J104" s="478">
        <f t="shared" si="29"/>
        <v>0</v>
      </c>
      <c r="K104" s="478"/>
      <c r="L104" s="540">
        <f t="shared" si="30"/>
        <v>193417.89490142919</v>
      </c>
      <c r="M104" s="575">
        <f t="shared" si="36"/>
        <v>0</v>
      </c>
      <c r="N104" s="540">
        <f t="shared" si="32"/>
        <v>193417.89490142919</v>
      </c>
      <c r="O104" s="478">
        <f t="shared" si="37"/>
        <v>0</v>
      </c>
      <c r="P104" s="348">
        <f t="shared" si="38"/>
        <v>0</v>
      </c>
    </row>
    <row r="105" spans="1:16" ht="12.5">
      <c r="B105" s="160" t="str">
        <f t="shared" si="35"/>
        <v/>
      </c>
      <c r="C105" s="472">
        <f>IF(D93="","-",+C104+1)</f>
        <v>2017</v>
      </c>
      <c r="D105" s="473">
        <v>1248306.6199999999</v>
      </c>
      <c r="E105" s="480">
        <v>30524</v>
      </c>
      <c r="F105" s="573">
        <v>1217782.6199999999</v>
      </c>
      <c r="G105" s="479">
        <v>1233044.6199999999</v>
      </c>
      <c r="H105" s="539">
        <v>186938.81917011391</v>
      </c>
      <c r="I105" s="539">
        <v>186938.81917011391</v>
      </c>
      <c r="J105" s="478">
        <f t="shared" si="29"/>
        <v>0</v>
      </c>
      <c r="K105" s="478"/>
      <c r="L105" s="540">
        <f>H105</f>
        <v>186938.81917011391</v>
      </c>
      <c r="M105" s="575">
        <f t="shared" si="36"/>
        <v>0</v>
      </c>
      <c r="N105" s="540">
        <f>I105</f>
        <v>186938.81917011391</v>
      </c>
      <c r="O105" s="478">
        <f t="shared" si="37"/>
        <v>0</v>
      </c>
      <c r="P105" s="348">
        <f t="shared" si="38"/>
        <v>0</v>
      </c>
    </row>
    <row r="106" spans="1:16" ht="12.5">
      <c r="B106" s="160" t="str">
        <f t="shared" si="35"/>
        <v/>
      </c>
      <c r="C106" s="472">
        <f>IF(D93="","-",+C105+1)</f>
        <v>2018</v>
      </c>
      <c r="D106" s="473">
        <v>1217782.6199999999</v>
      </c>
      <c r="E106" s="480">
        <v>32653</v>
      </c>
      <c r="F106" s="573">
        <v>1185129.6199999999</v>
      </c>
      <c r="G106" s="479">
        <v>1201456.1199999999</v>
      </c>
      <c r="H106" s="539">
        <v>156085.27550586959</v>
      </c>
      <c r="I106" s="539">
        <v>156085.27550586959</v>
      </c>
      <c r="J106" s="478">
        <f t="shared" si="29"/>
        <v>0</v>
      </c>
      <c r="K106" s="478"/>
      <c r="L106" s="540">
        <f>H106</f>
        <v>156085.27550586959</v>
      </c>
      <c r="M106" s="575">
        <f t="shared" ref="M106" si="39">IF(L106&lt;&gt;0,+H106-L106,0)</f>
        <v>0</v>
      </c>
      <c r="N106" s="540">
        <f>I106</f>
        <v>156085.27550586959</v>
      </c>
      <c r="O106" s="478">
        <f t="shared" ref="O106" si="40">IF(N106&lt;&gt;0,+I106-N106,0)</f>
        <v>0</v>
      </c>
      <c r="P106" s="348">
        <f t="shared" ref="P106" si="41">+O106-M106</f>
        <v>0</v>
      </c>
    </row>
    <row r="107" spans="1:16" ht="12.5">
      <c r="B107" s="160" t="str">
        <f t="shared" si="35"/>
        <v/>
      </c>
      <c r="C107" s="472">
        <f>IF(D93="","-",+C106+1)</f>
        <v>2019</v>
      </c>
      <c r="D107" s="473">
        <v>1185129.6199999999</v>
      </c>
      <c r="E107" s="480">
        <v>34246</v>
      </c>
      <c r="F107" s="573">
        <v>1150883.6199999999</v>
      </c>
      <c r="G107" s="479">
        <v>1168006.6199999999</v>
      </c>
      <c r="H107" s="539">
        <v>154683.86507702887</v>
      </c>
      <c r="I107" s="539">
        <v>154683.86507702887</v>
      </c>
      <c r="J107" s="478">
        <f t="shared" si="29"/>
        <v>0</v>
      </c>
      <c r="K107" s="478"/>
      <c r="L107" s="540">
        <f>H107</f>
        <v>154683.86507702887</v>
      </c>
      <c r="M107" s="575">
        <f t="shared" ref="M107:M108" si="42">IF(L107&lt;&gt;0,+H107-L107,0)</f>
        <v>0</v>
      </c>
      <c r="N107" s="540">
        <f>I107</f>
        <v>154683.86507702887</v>
      </c>
      <c r="O107" s="478">
        <f t="shared" si="33"/>
        <v>0</v>
      </c>
      <c r="P107" s="475">
        <f t="shared" si="34"/>
        <v>0</v>
      </c>
    </row>
    <row r="108" spans="1:16" ht="12.5">
      <c r="B108" s="160" t="str">
        <f t="shared" si="35"/>
        <v/>
      </c>
      <c r="C108" s="472">
        <f>IF(D93="","-",+C107+1)</f>
        <v>2020</v>
      </c>
      <c r="D108" s="473">
        <v>1150883.6199999999</v>
      </c>
      <c r="E108" s="480">
        <v>32653</v>
      </c>
      <c r="F108" s="573">
        <v>1118230.6199999999</v>
      </c>
      <c r="G108" s="479">
        <v>1134557.1199999999</v>
      </c>
      <c r="H108" s="539">
        <v>163464.31672839285</v>
      </c>
      <c r="I108" s="539">
        <v>163464.31672839285</v>
      </c>
      <c r="J108" s="478">
        <f t="shared" si="29"/>
        <v>0</v>
      </c>
      <c r="K108" s="478"/>
      <c r="L108" s="540">
        <f>H108</f>
        <v>163464.31672839285</v>
      </c>
      <c r="M108" s="575">
        <f t="shared" si="42"/>
        <v>0</v>
      </c>
      <c r="N108" s="540">
        <f>I108</f>
        <v>163464.31672839285</v>
      </c>
      <c r="O108" s="478">
        <f t="shared" si="33"/>
        <v>0</v>
      </c>
      <c r="P108" s="475">
        <f t="shared" si="34"/>
        <v>0</v>
      </c>
    </row>
    <row r="109" spans="1:16" ht="12.5">
      <c r="B109" s="160" t="str">
        <f t="shared" si="35"/>
        <v/>
      </c>
      <c r="C109" s="472">
        <f>IF(D93="","-",+C108+1)</f>
        <v>2021</v>
      </c>
      <c r="D109" s="346">
        <f>IF(F108+SUM(E$99:E108)=D$92,F108,D$92-SUM(E$99:E108))</f>
        <v>1118230.6199999999</v>
      </c>
      <c r="E109" s="486">
        <f>IF(+J96&lt;F108,J96,D109)</f>
        <v>34246</v>
      </c>
      <c r="F109" s="485">
        <f t="shared" ref="F109:F130" si="43">+D109-E109</f>
        <v>1083984.6199999999</v>
      </c>
      <c r="G109" s="485">
        <f t="shared" ref="G109:G130" si="44">+(F109+D109)/2</f>
        <v>1101107.6199999999</v>
      </c>
      <c r="H109" s="488">
        <f t="shared" ref="H109:H130" si="45">+J$94*G109+E109</f>
        <v>159544.11150802768</v>
      </c>
      <c r="I109" s="542">
        <f t="shared" ref="I109:I130" si="46">+J$95*G109+E109</f>
        <v>159544.11150802768</v>
      </c>
      <c r="J109" s="478">
        <f t="shared" si="29"/>
        <v>0</v>
      </c>
      <c r="K109" s="478"/>
      <c r="L109" s="487"/>
      <c r="M109" s="478">
        <f t="shared" si="31"/>
        <v>0</v>
      </c>
      <c r="N109" s="487"/>
      <c r="O109" s="478">
        <f t="shared" si="33"/>
        <v>0</v>
      </c>
      <c r="P109" s="478">
        <f t="shared" si="34"/>
        <v>0</v>
      </c>
    </row>
    <row r="110" spans="1:16" ht="12.5">
      <c r="B110" s="160" t="str">
        <f t="shared" si="35"/>
        <v/>
      </c>
      <c r="C110" s="472">
        <f>IF(D93="","-",+C109+1)</f>
        <v>2022</v>
      </c>
      <c r="D110" s="346">
        <f>IF(F109+SUM(E$99:E109)=D$92,F109,D$92-SUM(E$99:E109))</f>
        <v>1083984.6199999999</v>
      </c>
      <c r="E110" s="486">
        <f>IF(+J96&lt;F109,J96,D110)</f>
        <v>34246</v>
      </c>
      <c r="F110" s="485">
        <f t="shared" si="43"/>
        <v>1049738.6199999999</v>
      </c>
      <c r="G110" s="485">
        <f t="shared" si="44"/>
        <v>1066861.6199999999</v>
      </c>
      <c r="H110" s="488">
        <f t="shared" si="45"/>
        <v>155647.16351787216</v>
      </c>
      <c r="I110" s="542">
        <f t="shared" si="46"/>
        <v>155647.16351787216</v>
      </c>
      <c r="J110" s="478">
        <f t="shared" si="29"/>
        <v>0</v>
      </c>
      <c r="K110" s="478"/>
      <c r="L110" s="487"/>
      <c r="M110" s="478">
        <f t="shared" si="31"/>
        <v>0</v>
      </c>
      <c r="N110" s="487"/>
      <c r="O110" s="478">
        <f t="shared" si="33"/>
        <v>0</v>
      </c>
      <c r="P110" s="478">
        <f t="shared" si="34"/>
        <v>0</v>
      </c>
    </row>
    <row r="111" spans="1:16" ht="12.5">
      <c r="B111" s="160" t="str">
        <f t="shared" si="35"/>
        <v/>
      </c>
      <c r="C111" s="472">
        <f>IF(D93="","-",+C110+1)</f>
        <v>2023</v>
      </c>
      <c r="D111" s="346">
        <f>IF(F110+SUM(E$99:E110)=D$92,F110,D$92-SUM(E$99:E110))</f>
        <v>1049738.6199999999</v>
      </c>
      <c r="E111" s="486">
        <f>IF(+J96&lt;F110,J96,D111)</f>
        <v>34246</v>
      </c>
      <c r="F111" s="485">
        <f t="shared" si="43"/>
        <v>1015492.6199999999</v>
      </c>
      <c r="G111" s="485">
        <f t="shared" si="44"/>
        <v>1032615.6199999999</v>
      </c>
      <c r="H111" s="488">
        <f t="shared" si="45"/>
        <v>151750.21552771667</v>
      </c>
      <c r="I111" s="542">
        <f t="shared" si="46"/>
        <v>151750.21552771667</v>
      </c>
      <c r="J111" s="478">
        <f t="shared" si="29"/>
        <v>0</v>
      </c>
      <c r="K111" s="478"/>
      <c r="L111" s="487"/>
      <c r="M111" s="478">
        <f t="shared" si="31"/>
        <v>0</v>
      </c>
      <c r="N111" s="487"/>
      <c r="O111" s="478">
        <f t="shared" si="33"/>
        <v>0</v>
      </c>
      <c r="P111" s="478">
        <f t="shared" si="34"/>
        <v>0</v>
      </c>
    </row>
    <row r="112" spans="1:16" ht="12.5">
      <c r="B112" s="160" t="str">
        <f t="shared" si="35"/>
        <v/>
      </c>
      <c r="C112" s="472">
        <f>IF(D93="","-",+C111+1)</f>
        <v>2024</v>
      </c>
      <c r="D112" s="346">
        <f>IF(F111+SUM(E$99:E111)=D$92,F111,D$92-SUM(E$99:E111))</f>
        <v>1015492.6199999999</v>
      </c>
      <c r="E112" s="486">
        <f>IF(+J96&lt;F111,J96,D112)</f>
        <v>34246</v>
      </c>
      <c r="F112" s="485">
        <f t="shared" si="43"/>
        <v>981246.61999999988</v>
      </c>
      <c r="G112" s="485">
        <f t="shared" si="44"/>
        <v>998369.61999999988</v>
      </c>
      <c r="H112" s="488">
        <f t="shared" si="45"/>
        <v>147853.26753756116</v>
      </c>
      <c r="I112" s="542">
        <f t="shared" si="46"/>
        <v>147853.26753756116</v>
      </c>
      <c r="J112" s="478">
        <f t="shared" si="29"/>
        <v>0</v>
      </c>
      <c r="K112" s="478"/>
      <c r="L112" s="487"/>
      <c r="M112" s="478">
        <f t="shared" si="31"/>
        <v>0</v>
      </c>
      <c r="N112" s="487"/>
      <c r="O112" s="478">
        <f t="shared" si="33"/>
        <v>0</v>
      </c>
      <c r="P112" s="478">
        <f t="shared" si="34"/>
        <v>0</v>
      </c>
    </row>
    <row r="113" spans="2:16" ht="12.5">
      <c r="B113" s="160" t="str">
        <f t="shared" si="35"/>
        <v/>
      </c>
      <c r="C113" s="472">
        <f>IF(D93="","-",+C112+1)</f>
        <v>2025</v>
      </c>
      <c r="D113" s="346">
        <f>IF(F112+SUM(E$99:E112)=D$92,F112,D$92-SUM(E$99:E112))</f>
        <v>981246.61999999988</v>
      </c>
      <c r="E113" s="486">
        <f>IF(+J96&lt;F112,J96,D113)</f>
        <v>34246</v>
      </c>
      <c r="F113" s="485">
        <f t="shared" si="43"/>
        <v>947000.61999999988</v>
      </c>
      <c r="G113" s="485">
        <f t="shared" si="44"/>
        <v>964123.61999999988</v>
      </c>
      <c r="H113" s="488">
        <f t="shared" si="45"/>
        <v>143956.31954740564</v>
      </c>
      <c r="I113" s="542">
        <f t="shared" si="46"/>
        <v>143956.31954740564</v>
      </c>
      <c r="J113" s="478">
        <f t="shared" si="29"/>
        <v>0</v>
      </c>
      <c r="K113" s="478"/>
      <c r="L113" s="487"/>
      <c r="M113" s="478">
        <f t="shared" si="31"/>
        <v>0</v>
      </c>
      <c r="N113" s="487"/>
      <c r="O113" s="478">
        <f t="shared" si="33"/>
        <v>0</v>
      </c>
      <c r="P113" s="478">
        <f t="shared" si="34"/>
        <v>0</v>
      </c>
    </row>
    <row r="114" spans="2:16" ht="12.5">
      <c r="B114" s="160" t="str">
        <f t="shared" si="35"/>
        <v/>
      </c>
      <c r="C114" s="472">
        <f>IF(D93="","-",+C113+1)</f>
        <v>2026</v>
      </c>
      <c r="D114" s="346">
        <f>IF(F113+SUM(E$99:E113)=D$92,F113,D$92-SUM(E$99:E113))</f>
        <v>947000.61999999988</v>
      </c>
      <c r="E114" s="486">
        <f>IF(+J96&lt;F113,J96,D114)</f>
        <v>34246</v>
      </c>
      <c r="F114" s="485">
        <f t="shared" si="43"/>
        <v>912754.61999999988</v>
      </c>
      <c r="G114" s="485">
        <f t="shared" si="44"/>
        <v>929877.61999999988</v>
      </c>
      <c r="H114" s="488">
        <f t="shared" si="45"/>
        <v>140059.37155725015</v>
      </c>
      <c r="I114" s="542">
        <f t="shared" si="46"/>
        <v>140059.37155725015</v>
      </c>
      <c r="J114" s="478">
        <f t="shared" si="29"/>
        <v>0</v>
      </c>
      <c r="K114" s="478"/>
      <c r="L114" s="487"/>
      <c r="M114" s="478">
        <f t="shared" si="31"/>
        <v>0</v>
      </c>
      <c r="N114" s="487"/>
      <c r="O114" s="478">
        <f t="shared" si="33"/>
        <v>0</v>
      </c>
      <c r="P114" s="478">
        <f t="shared" si="34"/>
        <v>0</v>
      </c>
    </row>
    <row r="115" spans="2:16" ht="12.5">
      <c r="B115" s="160" t="str">
        <f t="shared" si="35"/>
        <v/>
      </c>
      <c r="C115" s="472">
        <f>IF(D93="","-",+C114+1)</f>
        <v>2027</v>
      </c>
      <c r="D115" s="346">
        <f>IF(F114+SUM(E$99:E114)=D$92,F114,D$92-SUM(E$99:E114))</f>
        <v>912754.61999999988</v>
      </c>
      <c r="E115" s="486">
        <f>IF(+J96&lt;F114,J96,D115)</f>
        <v>34246</v>
      </c>
      <c r="F115" s="485">
        <f t="shared" si="43"/>
        <v>878508.61999999988</v>
      </c>
      <c r="G115" s="485">
        <f t="shared" si="44"/>
        <v>895631.61999999988</v>
      </c>
      <c r="H115" s="488">
        <f t="shared" si="45"/>
        <v>136162.42356709461</v>
      </c>
      <c r="I115" s="542">
        <f t="shared" si="46"/>
        <v>136162.42356709461</v>
      </c>
      <c r="J115" s="478">
        <f t="shared" si="29"/>
        <v>0</v>
      </c>
      <c r="K115" s="478"/>
      <c r="L115" s="487"/>
      <c r="M115" s="478">
        <f t="shared" si="31"/>
        <v>0</v>
      </c>
      <c r="N115" s="487"/>
      <c r="O115" s="478">
        <f t="shared" si="33"/>
        <v>0</v>
      </c>
      <c r="P115" s="478">
        <f t="shared" si="34"/>
        <v>0</v>
      </c>
    </row>
    <row r="116" spans="2:16" ht="12.5">
      <c r="B116" s="160" t="str">
        <f t="shared" si="35"/>
        <v/>
      </c>
      <c r="C116" s="472">
        <f>IF(D93="","-",+C115+1)</f>
        <v>2028</v>
      </c>
      <c r="D116" s="346">
        <f>IF(F115+SUM(E$99:E115)=D$92,F115,D$92-SUM(E$99:E115))</f>
        <v>878508.61999999988</v>
      </c>
      <c r="E116" s="486">
        <f>IF(+J96&lt;F115,J96,D116)</f>
        <v>34246</v>
      </c>
      <c r="F116" s="485">
        <f t="shared" si="43"/>
        <v>844262.61999999988</v>
      </c>
      <c r="G116" s="485">
        <f t="shared" si="44"/>
        <v>861385.61999999988</v>
      </c>
      <c r="H116" s="488">
        <f t="shared" si="45"/>
        <v>132265.47557693912</v>
      </c>
      <c r="I116" s="542">
        <f t="shared" si="46"/>
        <v>132265.47557693912</v>
      </c>
      <c r="J116" s="478">
        <f t="shared" si="29"/>
        <v>0</v>
      </c>
      <c r="K116" s="478"/>
      <c r="L116" s="487"/>
      <c r="M116" s="478">
        <f t="shared" si="31"/>
        <v>0</v>
      </c>
      <c r="N116" s="487"/>
      <c r="O116" s="478">
        <f t="shared" si="33"/>
        <v>0</v>
      </c>
      <c r="P116" s="478">
        <f t="shared" si="34"/>
        <v>0</v>
      </c>
    </row>
    <row r="117" spans="2:16" ht="12.5">
      <c r="B117" s="160" t="str">
        <f t="shared" si="35"/>
        <v/>
      </c>
      <c r="C117" s="472">
        <f>IF(D93="","-",+C116+1)</f>
        <v>2029</v>
      </c>
      <c r="D117" s="346">
        <f>IF(F116+SUM(E$99:E116)=D$92,F116,D$92-SUM(E$99:E116))</f>
        <v>844262.61999999988</v>
      </c>
      <c r="E117" s="486">
        <f>IF(+J96&lt;F116,J96,D117)</f>
        <v>34246</v>
      </c>
      <c r="F117" s="485">
        <f t="shared" si="43"/>
        <v>810016.61999999988</v>
      </c>
      <c r="G117" s="485">
        <f t="shared" si="44"/>
        <v>827139.61999999988</v>
      </c>
      <c r="H117" s="488">
        <f t="shared" si="45"/>
        <v>128368.5275867836</v>
      </c>
      <c r="I117" s="542">
        <f t="shared" si="46"/>
        <v>128368.5275867836</v>
      </c>
      <c r="J117" s="478">
        <f t="shared" si="29"/>
        <v>0</v>
      </c>
      <c r="K117" s="478"/>
      <c r="L117" s="487"/>
      <c r="M117" s="478">
        <f t="shared" si="31"/>
        <v>0</v>
      </c>
      <c r="N117" s="487"/>
      <c r="O117" s="478">
        <f t="shared" si="33"/>
        <v>0</v>
      </c>
      <c r="P117" s="478">
        <f t="shared" si="34"/>
        <v>0</v>
      </c>
    </row>
    <row r="118" spans="2:16" ht="12.5">
      <c r="B118" s="160" t="str">
        <f t="shared" si="35"/>
        <v/>
      </c>
      <c r="C118" s="472">
        <f>IF(D93="","-",+C117+1)</f>
        <v>2030</v>
      </c>
      <c r="D118" s="346">
        <f>IF(F117+SUM(E$99:E117)=D$92,F117,D$92-SUM(E$99:E117))</f>
        <v>810016.61999999988</v>
      </c>
      <c r="E118" s="486">
        <f>IF(+J96&lt;F117,J96,D118)</f>
        <v>34246</v>
      </c>
      <c r="F118" s="485">
        <f t="shared" si="43"/>
        <v>775770.61999999988</v>
      </c>
      <c r="G118" s="485">
        <f t="shared" si="44"/>
        <v>792893.61999999988</v>
      </c>
      <c r="H118" s="488">
        <f t="shared" si="45"/>
        <v>124471.5795966281</v>
      </c>
      <c r="I118" s="542">
        <f t="shared" si="46"/>
        <v>124471.5795966281</v>
      </c>
      <c r="J118" s="478">
        <f t="shared" si="29"/>
        <v>0</v>
      </c>
      <c r="K118" s="478"/>
      <c r="L118" s="487"/>
      <c r="M118" s="478">
        <f t="shared" si="31"/>
        <v>0</v>
      </c>
      <c r="N118" s="487"/>
      <c r="O118" s="478">
        <f t="shared" si="33"/>
        <v>0</v>
      </c>
      <c r="P118" s="478">
        <f t="shared" si="34"/>
        <v>0</v>
      </c>
    </row>
    <row r="119" spans="2:16" ht="12.5">
      <c r="B119" s="160" t="str">
        <f t="shared" si="35"/>
        <v/>
      </c>
      <c r="C119" s="472">
        <f>IF(D93="","-",+C118+1)</f>
        <v>2031</v>
      </c>
      <c r="D119" s="346">
        <f>IF(F118+SUM(E$99:E118)=D$92,F118,D$92-SUM(E$99:E118))</f>
        <v>775770.61999999988</v>
      </c>
      <c r="E119" s="486">
        <f>IF(+J96&lt;F118,J96,D119)</f>
        <v>34246</v>
      </c>
      <c r="F119" s="485">
        <f t="shared" si="43"/>
        <v>741524.61999999988</v>
      </c>
      <c r="G119" s="485">
        <f t="shared" si="44"/>
        <v>758647.61999999988</v>
      </c>
      <c r="H119" s="488">
        <f t="shared" si="45"/>
        <v>120574.63160647258</v>
      </c>
      <c r="I119" s="542">
        <f t="shared" si="46"/>
        <v>120574.63160647258</v>
      </c>
      <c r="J119" s="478">
        <f t="shared" si="29"/>
        <v>0</v>
      </c>
      <c r="K119" s="478"/>
      <c r="L119" s="487"/>
      <c r="M119" s="478">
        <f t="shared" si="31"/>
        <v>0</v>
      </c>
      <c r="N119" s="487"/>
      <c r="O119" s="478">
        <f t="shared" si="33"/>
        <v>0</v>
      </c>
      <c r="P119" s="478">
        <f t="shared" si="34"/>
        <v>0</v>
      </c>
    </row>
    <row r="120" spans="2:16" ht="12.5">
      <c r="B120" s="160" t="str">
        <f t="shared" si="35"/>
        <v/>
      </c>
      <c r="C120" s="472">
        <f>IF(D93="","-",+C119+1)</f>
        <v>2032</v>
      </c>
      <c r="D120" s="346">
        <f>IF(F119+SUM(E$99:E119)=D$92,F119,D$92-SUM(E$99:E119))</f>
        <v>741524.61999999988</v>
      </c>
      <c r="E120" s="486">
        <f>IF(+J96&lt;F119,J96,D120)</f>
        <v>34246</v>
      </c>
      <c r="F120" s="485">
        <f t="shared" si="43"/>
        <v>707278.61999999988</v>
      </c>
      <c r="G120" s="485">
        <f t="shared" si="44"/>
        <v>724401.61999999988</v>
      </c>
      <c r="H120" s="488">
        <f t="shared" si="45"/>
        <v>116677.68361631708</v>
      </c>
      <c r="I120" s="542">
        <f t="shared" si="46"/>
        <v>116677.68361631708</v>
      </c>
      <c r="J120" s="478">
        <f t="shared" si="29"/>
        <v>0</v>
      </c>
      <c r="K120" s="478"/>
      <c r="L120" s="487"/>
      <c r="M120" s="478">
        <f t="shared" si="31"/>
        <v>0</v>
      </c>
      <c r="N120" s="487"/>
      <c r="O120" s="478">
        <f t="shared" si="33"/>
        <v>0</v>
      </c>
      <c r="P120" s="478">
        <f t="shared" si="34"/>
        <v>0</v>
      </c>
    </row>
    <row r="121" spans="2:16" ht="12.5">
      <c r="B121" s="160" t="str">
        <f t="shared" si="35"/>
        <v/>
      </c>
      <c r="C121" s="472">
        <f>IF(D93="","-",+C120+1)</f>
        <v>2033</v>
      </c>
      <c r="D121" s="346">
        <f>IF(F120+SUM(E$99:E120)=D$92,F120,D$92-SUM(E$99:E120))</f>
        <v>707278.61999999988</v>
      </c>
      <c r="E121" s="486">
        <f>IF(+J96&lt;F120,J96,D121)</f>
        <v>34246</v>
      </c>
      <c r="F121" s="485">
        <f t="shared" si="43"/>
        <v>673032.61999999988</v>
      </c>
      <c r="G121" s="485">
        <f t="shared" si="44"/>
        <v>690155.61999999988</v>
      </c>
      <c r="H121" s="488">
        <f t="shared" si="45"/>
        <v>112780.73562616156</v>
      </c>
      <c r="I121" s="542">
        <f t="shared" si="46"/>
        <v>112780.73562616156</v>
      </c>
      <c r="J121" s="478">
        <f t="shared" si="29"/>
        <v>0</v>
      </c>
      <c r="K121" s="478"/>
      <c r="L121" s="487"/>
      <c r="M121" s="478">
        <f t="shared" si="31"/>
        <v>0</v>
      </c>
      <c r="N121" s="487"/>
      <c r="O121" s="478">
        <f t="shared" si="33"/>
        <v>0</v>
      </c>
      <c r="P121" s="478">
        <f t="shared" si="34"/>
        <v>0</v>
      </c>
    </row>
    <row r="122" spans="2:16" ht="12.5">
      <c r="B122" s="160" t="str">
        <f t="shared" si="35"/>
        <v/>
      </c>
      <c r="C122" s="472">
        <f>IF(D93="","-",+C121+1)</f>
        <v>2034</v>
      </c>
      <c r="D122" s="346">
        <f>IF(F121+SUM(E$99:E121)=D$92,F121,D$92-SUM(E$99:E121))</f>
        <v>673032.61999999988</v>
      </c>
      <c r="E122" s="486">
        <f>IF(+J96&lt;F121,J96,D122)</f>
        <v>34246</v>
      </c>
      <c r="F122" s="485">
        <f t="shared" si="43"/>
        <v>638786.61999999988</v>
      </c>
      <c r="G122" s="485">
        <f t="shared" si="44"/>
        <v>655909.61999999988</v>
      </c>
      <c r="H122" s="488">
        <f t="shared" si="45"/>
        <v>108883.78763600606</v>
      </c>
      <c r="I122" s="542">
        <f t="shared" si="46"/>
        <v>108883.78763600606</v>
      </c>
      <c r="J122" s="478">
        <f t="shared" si="29"/>
        <v>0</v>
      </c>
      <c r="K122" s="478"/>
      <c r="L122" s="487"/>
      <c r="M122" s="478">
        <f t="shared" si="31"/>
        <v>0</v>
      </c>
      <c r="N122" s="487"/>
      <c r="O122" s="478">
        <f t="shared" si="33"/>
        <v>0</v>
      </c>
      <c r="P122" s="478">
        <f t="shared" si="34"/>
        <v>0</v>
      </c>
    </row>
    <row r="123" spans="2:16" ht="12.5">
      <c r="B123" s="160" t="str">
        <f t="shared" si="35"/>
        <v/>
      </c>
      <c r="C123" s="472">
        <f>IF(D93="","-",+C122+1)</f>
        <v>2035</v>
      </c>
      <c r="D123" s="346">
        <f>IF(F122+SUM(E$99:E122)=D$92,F122,D$92-SUM(E$99:E122))</f>
        <v>638786.61999999988</v>
      </c>
      <c r="E123" s="486">
        <f>IF(+J96&lt;F122,J96,D123)</f>
        <v>34246</v>
      </c>
      <c r="F123" s="485">
        <f t="shared" si="43"/>
        <v>604540.61999999988</v>
      </c>
      <c r="G123" s="485">
        <f t="shared" si="44"/>
        <v>621663.61999999988</v>
      </c>
      <c r="H123" s="488">
        <f t="shared" si="45"/>
        <v>104986.83964585054</v>
      </c>
      <c r="I123" s="542">
        <f t="shared" si="46"/>
        <v>104986.83964585054</v>
      </c>
      <c r="J123" s="478">
        <f t="shared" si="29"/>
        <v>0</v>
      </c>
      <c r="K123" s="478"/>
      <c r="L123" s="487"/>
      <c r="M123" s="478">
        <f t="shared" si="31"/>
        <v>0</v>
      </c>
      <c r="N123" s="487"/>
      <c r="O123" s="478">
        <f t="shared" si="33"/>
        <v>0</v>
      </c>
      <c r="P123" s="478">
        <f t="shared" si="34"/>
        <v>0</v>
      </c>
    </row>
    <row r="124" spans="2:16" ht="12.5">
      <c r="B124" s="160" t="str">
        <f t="shared" si="35"/>
        <v/>
      </c>
      <c r="C124" s="472">
        <f>IF(D93="","-",+C123+1)</f>
        <v>2036</v>
      </c>
      <c r="D124" s="346">
        <f>IF(F123+SUM(E$99:E123)=D$92,F123,D$92-SUM(E$99:E123))</f>
        <v>604540.61999999988</v>
      </c>
      <c r="E124" s="486">
        <f>IF(+J96&lt;F123,J96,D124)</f>
        <v>34246</v>
      </c>
      <c r="F124" s="485">
        <f t="shared" si="43"/>
        <v>570294.61999999988</v>
      </c>
      <c r="G124" s="485">
        <f t="shared" si="44"/>
        <v>587417.61999999988</v>
      </c>
      <c r="H124" s="488">
        <f t="shared" si="45"/>
        <v>101089.89165569504</v>
      </c>
      <c r="I124" s="542">
        <f t="shared" si="46"/>
        <v>101089.89165569504</v>
      </c>
      <c r="J124" s="478">
        <f t="shared" si="29"/>
        <v>0</v>
      </c>
      <c r="K124" s="478"/>
      <c r="L124" s="487"/>
      <c r="M124" s="478">
        <f t="shared" si="31"/>
        <v>0</v>
      </c>
      <c r="N124" s="487"/>
      <c r="O124" s="478">
        <f t="shared" si="33"/>
        <v>0</v>
      </c>
      <c r="P124" s="478">
        <f t="shared" si="34"/>
        <v>0</v>
      </c>
    </row>
    <row r="125" spans="2:16" ht="12.5">
      <c r="B125" s="160" t="str">
        <f t="shared" si="35"/>
        <v/>
      </c>
      <c r="C125" s="472">
        <f>IF(D93="","-",+C124+1)</f>
        <v>2037</v>
      </c>
      <c r="D125" s="346">
        <f>IF(F124+SUM(E$99:E124)=D$92,F124,D$92-SUM(E$99:E124))</f>
        <v>570294.61999999988</v>
      </c>
      <c r="E125" s="486">
        <f>IF(+J96&lt;F124,J96,D125)</f>
        <v>34246</v>
      </c>
      <c r="F125" s="485">
        <f t="shared" si="43"/>
        <v>536048.61999999988</v>
      </c>
      <c r="G125" s="485">
        <f t="shared" si="44"/>
        <v>553171.61999999988</v>
      </c>
      <c r="H125" s="488">
        <f t="shared" si="45"/>
        <v>97192.943665539526</v>
      </c>
      <c r="I125" s="542">
        <f t="shared" si="46"/>
        <v>97192.943665539526</v>
      </c>
      <c r="J125" s="478">
        <f t="shared" si="29"/>
        <v>0</v>
      </c>
      <c r="K125" s="478"/>
      <c r="L125" s="487"/>
      <c r="M125" s="478">
        <f t="shared" si="31"/>
        <v>0</v>
      </c>
      <c r="N125" s="487"/>
      <c r="O125" s="478">
        <f t="shared" si="33"/>
        <v>0</v>
      </c>
      <c r="P125" s="478">
        <f t="shared" si="34"/>
        <v>0</v>
      </c>
    </row>
    <row r="126" spans="2:16" ht="12.5">
      <c r="B126" s="160" t="str">
        <f t="shared" si="35"/>
        <v/>
      </c>
      <c r="C126" s="472">
        <f>IF(D93="","-",+C125+1)</f>
        <v>2038</v>
      </c>
      <c r="D126" s="346">
        <f>IF(F125+SUM(E$99:E125)=D$92,F125,D$92-SUM(E$99:E125))</f>
        <v>536048.61999999988</v>
      </c>
      <c r="E126" s="486">
        <f>IF(+J96&lt;F125,J96,D126)</f>
        <v>34246</v>
      </c>
      <c r="F126" s="485">
        <f t="shared" si="43"/>
        <v>501802.61999999988</v>
      </c>
      <c r="G126" s="485">
        <f t="shared" si="44"/>
        <v>518925.61999999988</v>
      </c>
      <c r="H126" s="488">
        <f t="shared" si="45"/>
        <v>93295.995675384023</v>
      </c>
      <c r="I126" s="542">
        <f t="shared" si="46"/>
        <v>93295.995675384023</v>
      </c>
      <c r="J126" s="478">
        <f t="shared" si="29"/>
        <v>0</v>
      </c>
      <c r="K126" s="478"/>
      <c r="L126" s="487"/>
      <c r="M126" s="478">
        <f t="shared" si="31"/>
        <v>0</v>
      </c>
      <c r="N126" s="487"/>
      <c r="O126" s="478">
        <f t="shared" si="33"/>
        <v>0</v>
      </c>
      <c r="P126" s="478">
        <f t="shared" si="34"/>
        <v>0</v>
      </c>
    </row>
    <row r="127" spans="2:16" ht="12.5">
      <c r="B127" s="160" t="str">
        <f t="shared" si="35"/>
        <v/>
      </c>
      <c r="C127" s="472">
        <f>IF(D93="","-",+C126+1)</f>
        <v>2039</v>
      </c>
      <c r="D127" s="346">
        <f>IF(F126+SUM(E$99:E126)=D$92,F126,D$92-SUM(E$99:E126))</f>
        <v>501802.61999999988</v>
      </c>
      <c r="E127" s="486">
        <f>IF(+J96&lt;F126,J96,D127)</f>
        <v>34246</v>
      </c>
      <c r="F127" s="485">
        <f t="shared" si="43"/>
        <v>467556.61999999988</v>
      </c>
      <c r="G127" s="485">
        <f t="shared" si="44"/>
        <v>484679.61999999988</v>
      </c>
      <c r="H127" s="488">
        <f t="shared" si="45"/>
        <v>89399.047685228521</v>
      </c>
      <c r="I127" s="542">
        <f t="shared" si="46"/>
        <v>89399.047685228521</v>
      </c>
      <c r="J127" s="478">
        <f t="shared" si="29"/>
        <v>0</v>
      </c>
      <c r="K127" s="478"/>
      <c r="L127" s="487"/>
      <c r="M127" s="478">
        <f t="shared" si="31"/>
        <v>0</v>
      </c>
      <c r="N127" s="487"/>
      <c r="O127" s="478">
        <f t="shared" si="33"/>
        <v>0</v>
      </c>
      <c r="P127" s="478">
        <f t="shared" si="34"/>
        <v>0</v>
      </c>
    </row>
    <row r="128" spans="2:16" ht="12.5">
      <c r="B128" s="160" t="str">
        <f t="shared" si="35"/>
        <v/>
      </c>
      <c r="C128" s="472">
        <f>IF(D93="","-",+C127+1)</f>
        <v>2040</v>
      </c>
      <c r="D128" s="346">
        <f>IF(F127+SUM(E$99:E127)=D$92,F127,D$92-SUM(E$99:E127))</f>
        <v>467556.61999999988</v>
      </c>
      <c r="E128" s="486">
        <f>IF(+J96&lt;F127,J96,D128)</f>
        <v>34246</v>
      </c>
      <c r="F128" s="485">
        <f t="shared" si="43"/>
        <v>433310.61999999988</v>
      </c>
      <c r="G128" s="485">
        <f t="shared" si="44"/>
        <v>450433.61999999988</v>
      </c>
      <c r="H128" s="488">
        <f t="shared" si="45"/>
        <v>85502.099695073004</v>
      </c>
      <c r="I128" s="542">
        <f t="shared" si="46"/>
        <v>85502.099695073004</v>
      </c>
      <c r="J128" s="478">
        <f t="shared" si="29"/>
        <v>0</v>
      </c>
      <c r="K128" s="478"/>
      <c r="L128" s="487"/>
      <c r="M128" s="478">
        <f t="shared" si="31"/>
        <v>0</v>
      </c>
      <c r="N128" s="487"/>
      <c r="O128" s="478">
        <f t="shared" si="33"/>
        <v>0</v>
      </c>
      <c r="P128" s="478">
        <f t="shared" si="34"/>
        <v>0</v>
      </c>
    </row>
    <row r="129" spans="2:16" ht="12.5">
      <c r="B129" s="160" t="str">
        <f t="shared" si="35"/>
        <v/>
      </c>
      <c r="C129" s="472">
        <f>IF(D93="","-",+C128+1)</f>
        <v>2041</v>
      </c>
      <c r="D129" s="346">
        <f>IF(F128+SUM(E$99:E128)=D$92,F128,D$92-SUM(E$99:E128))</f>
        <v>433310.61999999988</v>
      </c>
      <c r="E129" s="486">
        <f t="shared" ref="E129:E154" si="47">IF(+J$96&lt;F128,J$96,D129)</f>
        <v>34246</v>
      </c>
      <c r="F129" s="485">
        <f t="shared" si="43"/>
        <v>399064.61999999988</v>
      </c>
      <c r="G129" s="485">
        <f t="shared" si="44"/>
        <v>416187.61999999988</v>
      </c>
      <c r="H129" s="488">
        <f t="shared" si="45"/>
        <v>81605.151704917487</v>
      </c>
      <c r="I129" s="542">
        <f t="shared" si="46"/>
        <v>81605.151704917487</v>
      </c>
      <c r="J129" s="478">
        <f t="shared" si="29"/>
        <v>0</v>
      </c>
      <c r="K129" s="478"/>
      <c r="L129" s="487"/>
      <c r="M129" s="478">
        <f t="shared" si="31"/>
        <v>0</v>
      </c>
      <c r="N129" s="487"/>
      <c r="O129" s="478">
        <f t="shared" si="33"/>
        <v>0</v>
      </c>
      <c r="P129" s="478">
        <f t="shared" si="34"/>
        <v>0</v>
      </c>
    </row>
    <row r="130" spans="2:16" ht="12.5">
      <c r="B130" s="160" t="str">
        <f t="shared" si="35"/>
        <v/>
      </c>
      <c r="C130" s="472">
        <f>IF(D93="","-",+C129+1)</f>
        <v>2042</v>
      </c>
      <c r="D130" s="346">
        <f>IF(F129+SUM(E$99:E129)=D$92,F129,D$92-SUM(E$99:E129))</f>
        <v>399064.61999999988</v>
      </c>
      <c r="E130" s="486">
        <f t="shared" si="47"/>
        <v>34246</v>
      </c>
      <c r="F130" s="485">
        <f t="shared" si="43"/>
        <v>364818.61999999988</v>
      </c>
      <c r="G130" s="485">
        <f t="shared" si="44"/>
        <v>381941.61999999988</v>
      </c>
      <c r="H130" s="488">
        <f t="shared" si="45"/>
        <v>77708.203714761985</v>
      </c>
      <c r="I130" s="542">
        <f t="shared" si="46"/>
        <v>77708.203714761985</v>
      </c>
      <c r="J130" s="478">
        <f t="shared" si="29"/>
        <v>0</v>
      </c>
      <c r="K130" s="478"/>
      <c r="L130" s="487"/>
      <c r="M130" s="478">
        <f t="shared" si="31"/>
        <v>0</v>
      </c>
      <c r="N130" s="487"/>
      <c r="O130" s="478">
        <f t="shared" si="33"/>
        <v>0</v>
      </c>
      <c r="P130" s="478">
        <f t="shared" si="34"/>
        <v>0</v>
      </c>
    </row>
    <row r="131" spans="2:16" ht="12.5">
      <c r="B131" s="160" t="str">
        <f t="shared" si="35"/>
        <v/>
      </c>
      <c r="C131" s="472">
        <f>IF(D93="","-",+C130+1)</f>
        <v>2043</v>
      </c>
      <c r="D131" s="346">
        <f>IF(F130+SUM(E$99:E130)=D$92,F130,D$92-SUM(E$99:E130))</f>
        <v>364818.61999999988</v>
      </c>
      <c r="E131" s="486">
        <f t="shared" si="47"/>
        <v>34246</v>
      </c>
      <c r="F131" s="485">
        <f t="shared" ref="F131:F154" si="48">+D131-E131</f>
        <v>330572.61999999988</v>
      </c>
      <c r="G131" s="485">
        <f t="shared" ref="G131:G154" si="49">+(F131+D131)/2</f>
        <v>347695.61999999988</v>
      </c>
      <c r="H131" s="488">
        <f t="shared" ref="H131:H154" si="50">+J$94*G131+E131</f>
        <v>73811.255724606483</v>
      </c>
      <c r="I131" s="542">
        <f t="shared" ref="I131:I154" si="51">+J$95*G131+E131</f>
        <v>73811.255724606483</v>
      </c>
      <c r="J131" s="478">
        <f t="shared" ref="J131:J154" si="52">+I541-H541</f>
        <v>0</v>
      </c>
      <c r="K131" s="478"/>
      <c r="L131" s="487"/>
      <c r="M131" s="478">
        <f t="shared" ref="M131:M154" si="53">IF(L541&lt;&gt;0,+H541-L541,0)</f>
        <v>0</v>
      </c>
      <c r="N131" s="487"/>
      <c r="O131" s="478">
        <f t="shared" ref="O131:O154" si="54">IF(N541&lt;&gt;0,+I541-N541,0)</f>
        <v>0</v>
      </c>
      <c r="P131" s="478">
        <f t="shared" ref="P131:P154" si="55">+O541-M541</f>
        <v>0</v>
      </c>
    </row>
    <row r="132" spans="2:16" ht="12.5">
      <c r="B132" s="160" t="str">
        <f t="shared" ref="B132:B154" si="56">IF(D132=F131,"","IU")</f>
        <v/>
      </c>
      <c r="C132" s="472">
        <f>IF(D93="","-",+C131+1)</f>
        <v>2044</v>
      </c>
      <c r="D132" s="346">
        <f>IF(F131+SUM(E$99:E131)=D$92,F131,D$92-SUM(E$99:E131))</f>
        <v>330572.61999999988</v>
      </c>
      <c r="E132" s="486">
        <f t="shared" si="47"/>
        <v>34246</v>
      </c>
      <c r="F132" s="485">
        <f t="shared" si="48"/>
        <v>296326.61999999988</v>
      </c>
      <c r="G132" s="485">
        <f t="shared" si="49"/>
        <v>313449.61999999988</v>
      </c>
      <c r="H132" s="488">
        <f t="shared" si="50"/>
        <v>69914.307734450966</v>
      </c>
      <c r="I132" s="542">
        <f t="shared" si="51"/>
        <v>69914.307734450966</v>
      </c>
      <c r="J132" s="478">
        <f t="shared" si="52"/>
        <v>0</v>
      </c>
      <c r="K132" s="478"/>
      <c r="L132" s="487"/>
      <c r="M132" s="478">
        <f t="shared" si="53"/>
        <v>0</v>
      </c>
      <c r="N132" s="487"/>
      <c r="O132" s="478">
        <f t="shared" si="54"/>
        <v>0</v>
      </c>
      <c r="P132" s="478">
        <f t="shared" si="55"/>
        <v>0</v>
      </c>
    </row>
    <row r="133" spans="2:16" ht="12.5">
      <c r="B133" s="160" t="str">
        <f t="shared" si="56"/>
        <v/>
      </c>
      <c r="C133" s="472">
        <f>IF(D93="","-",+C132+1)</f>
        <v>2045</v>
      </c>
      <c r="D133" s="346">
        <f>IF(F132+SUM(E$99:E132)=D$92,F132,D$92-SUM(E$99:E132))</f>
        <v>296326.61999999988</v>
      </c>
      <c r="E133" s="486">
        <f t="shared" si="47"/>
        <v>34246</v>
      </c>
      <c r="F133" s="485">
        <f t="shared" si="48"/>
        <v>262080.61999999988</v>
      </c>
      <c r="G133" s="485">
        <f t="shared" si="49"/>
        <v>279203.61999999988</v>
      </c>
      <c r="H133" s="488">
        <f t="shared" si="50"/>
        <v>66017.359744295449</v>
      </c>
      <c r="I133" s="542">
        <f t="shared" si="51"/>
        <v>66017.359744295449</v>
      </c>
      <c r="J133" s="478">
        <f t="shared" si="52"/>
        <v>0</v>
      </c>
      <c r="K133" s="478"/>
      <c r="L133" s="487"/>
      <c r="M133" s="478">
        <f t="shared" si="53"/>
        <v>0</v>
      </c>
      <c r="N133" s="487"/>
      <c r="O133" s="478">
        <f t="shared" si="54"/>
        <v>0</v>
      </c>
      <c r="P133" s="478">
        <f t="shared" si="55"/>
        <v>0</v>
      </c>
    </row>
    <row r="134" spans="2:16" ht="12.5">
      <c r="B134" s="160" t="str">
        <f t="shared" si="56"/>
        <v/>
      </c>
      <c r="C134" s="472">
        <f>IF(D93="","-",+C133+1)</f>
        <v>2046</v>
      </c>
      <c r="D134" s="346">
        <f>IF(F133+SUM(E$99:E133)=D$92,F133,D$92-SUM(E$99:E133))</f>
        <v>262080.61999999988</v>
      </c>
      <c r="E134" s="486">
        <f t="shared" si="47"/>
        <v>34246</v>
      </c>
      <c r="F134" s="485">
        <f t="shared" si="48"/>
        <v>227834.61999999988</v>
      </c>
      <c r="G134" s="485">
        <f t="shared" si="49"/>
        <v>244957.61999999988</v>
      </c>
      <c r="H134" s="488">
        <f t="shared" si="50"/>
        <v>62120.411754139946</v>
      </c>
      <c r="I134" s="542">
        <f t="shared" si="51"/>
        <v>62120.411754139946</v>
      </c>
      <c r="J134" s="478">
        <f t="shared" si="52"/>
        <v>0</v>
      </c>
      <c r="K134" s="478"/>
      <c r="L134" s="487"/>
      <c r="M134" s="478">
        <f t="shared" si="53"/>
        <v>0</v>
      </c>
      <c r="N134" s="487"/>
      <c r="O134" s="478">
        <f t="shared" si="54"/>
        <v>0</v>
      </c>
      <c r="P134" s="478">
        <f t="shared" si="55"/>
        <v>0</v>
      </c>
    </row>
    <row r="135" spans="2:16" ht="12.5">
      <c r="B135" s="160" t="str">
        <f t="shared" si="56"/>
        <v/>
      </c>
      <c r="C135" s="472">
        <f>IF(D93="","-",+C134+1)</f>
        <v>2047</v>
      </c>
      <c r="D135" s="346">
        <f>IF(F134+SUM(E$99:E134)=D$92,F134,D$92-SUM(E$99:E134))</f>
        <v>227834.61999999988</v>
      </c>
      <c r="E135" s="486">
        <f t="shared" si="47"/>
        <v>34246</v>
      </c>
      <c r="F135" s="485">
        <f t="shared" si="48"/>
        <v>193588.61999999988</v>
      </c>
      <c r="G135" s="485">
        <f t="shared" si="49"/>
        <v>210711.61999999988</v>
      </c>
      <c r="H135" s="488">
        <f t="shared" si="50"/>
        <v>58223.463763984437</v>
      </c>
      <c r="I135" s="542">
        <f t="shared" si="51"/>
        <v>58223.463763984437</v>
      </c>
      <c r="J135" s="478">
        <f t="shared" si="52"/>
        <v>0</v>
      </c>
      <c r="K135" s="478"/>
      <c r="L135" s="487"/>
      <c r="M135" s="478">
        <f t="shared" si="53"/>
        <v>0</v>
      </c>
      <c r="N135" s="487"/>
      <c r="O135" s="478">
        <f t="shared" si="54"/>
        <v>0</v>
      </c>
      <c r="P135" s="478">
        <f t="shared" si="55"/>
        <v>0</v>
      </c>
    </row>
    <row r="136" spans="2:16" ht="12.5">
      <c r="B136" s="160" t="str">
        <f t="shared" si="56"/>
        <v/>
      </c>
      <c r="C136" s="472">
        <f>IF(D93="","-",+C135+1)</f>
        <v>2048</v>
      </c>
      <c r="D136" s="346">
        <f>IF(F135+SUM(E$99:E135)=D$92,F135,D$92-SUM(E$99:E135))</f>
        <v>193588.61999999988</v>
      </c>
      <c r="E136" s="486">
        <f t="shared" si="47"/>
        <v>34246</v>
      </c>
      <c r="F136" s="485">
        <f t="shared" si="48"/>
        <v>159342.61999999988</v>
      </c>
      <c r="G136" s="485">
        <f t="shared" si="49"/>
        <v>176465.61999999988</v>
      </c>
      <c r="H136" s="488">
        <f t="shared" si="50"/>
        <v>54326.515773828927</v>
      </c>
      <c r="I136" s="542">
        <f t="shared" si="51"/>
        <v>54326.515773828927</v>
      </c>
      <c r="J136" s="478">
        <f t="shared" si="52"/>
        <v>0</v>
      </c>
      <c r="K136" s="478"/>
      <c r="L136" s="487"/>
      <c r="M136" s="478">
        <f t="shared" si="53"/>
        <v>0</v>
      </c>
      <c r="N136" s="487"/>
      <c r="O136" s="478">
        <f t="shared" si="54"/>
        <v>0</v>
      </c>
      <c r="P136" s="478">
        <f t="shared" si="55"/>
        <v>0</v>
      </c>
    </row>
    <row r="137" spans="2:16" ht="12.5">
      <c r="B137" s="160" t="str">
        <f t="shared" si="56"/>
        <v/>
      </c>
      <c r="C137" s="472">
        <f>IF(D93="","-",+C136+1)</f>
        <v>2049</v>
      </c>
      <c r="D137" s="346">
        <f>IF(F136+SUM(E$99:E136)=D$92,F136,D$92-SUM(E$99:E136))</f>
        <v>159342.61999999988</v>
      </c>
      <c r="E137" s="486">
        <f t="shared" si="47"/>
        <v>34246</v>
      </c>
      <c r="F137" s="485">
        <f t="shared" si="48"/>
        <v>125096.61999999988</v>
      </c>
      <c r="G137" s="485">
        <f t="shared" si="49"/>
        <v>142219.61999999988</v>
      </c>
      <c r="H137" s="488">
        <f t="shared" si="50"/>
        <v>50429.567783673418</v>
      </c>
      <c r="I137" s="542">
        <f t="shared" si="51"/>
        <v>50429.567783673418</v>
      </c>
      <c r="J137" s="478">
        <f t="shared" si="52"/>
        <v>0</v>
      </c>
      <c r="K137" s="478"/>
      <c r="L137" s="487"/>
      <c r="M137" s="478">
        <f t="shared" si="53"/>
        <v>0</v>
      </c>
      <c r="N137" s="487"/>
      <c r="O137" s="478">
        <f t="shared" si="54"/>
        <v>0</v>
      </c>
      <c r="P137" s="478">
        <f t="shared" si="55"/>
        <v>0</v>
      </c>
    </row>
    <row r="138" spans="2:16" ht="12.5">
      <c r="B138" s="160" t="str">
        <f t="shared" si="56"/>
        <v/>
      </c>
      <c r="C138" s="472">
        <f>IF(D93="","-",+C137+1)</f>
        <v>2050</v>
      </c>
      <c r="D138" s="346">
        <f>IF(F137+SUM(E$99:E137)=D$92,F137,D$92-SUM(E$99:E137))</f>
        <v>125096.61999999988</v>
      </c>
      <c r="E138" s="486">
        <f t="shared" si="47"/>
        <v>34246</v>
      </c>
      <c r="F138" s="485">
        <f t="shared" si="48"/>
        <v>90850.619999999879</v>
      </c>
      <c r="G138" s="485">
        <f t="shared" si="49"/>
        <v>107973.61999999988</v>
      </c>
      <c r="H138" s="488">
        <f t="shared" si="50"/>
        <v>46532.619793517908</v>
      </c>
      <c r="I138" s="542">
        <f t="shared" si="51"/>
        <v>46532.619793517908</v>
      </c>
      <c r="J138" s="478">
        <f t="shared" si="52"/>
        <v>0</v>
      </c>
      <c r="K138" s="478"/>
      <c r="L138" s="487"/>
      <c r="M138" s="478">
        <f t="shared" si="53"/>
        <v>0</v>
      </c>
      <c r="N138" s="487"/>
      <c r="O138" s="478">
        <f t="shared" si="54"/>
        <v>0</v>
      </c>
      <c r="P138" s="478">
        <f t="shared" si="55"/>
        <v>0</v>
      </c>
    </row>
    <row r="139" spans="2:16" ht="12.5">
      <c r="B139" s="160" t="str">
        <f t="shared" si="56"/>
        <v/>
      </c>
      <c r="C139" s="472">
        <f>IF(D93="","-",+C138+1)</f>
        <v>2051</v>
      </c>
      <c r="D139" s="346">
        <f>IF(F138+SUM(E$99:E138)=D$92,F138,D$92-SUM(E$99:E138))</f>
        <v>90850.619999999879</v>
      </c>
      <c r="E139" s="486">
        <f t="shared" si="47"/>
        <v>34246</v>
      </c>
      <c r="F139" s="485">
        <f t="shared" si="48"/>
        <v>56604.619999999879</v>
      </c>
      <c r="G139" s="485">
        <f t="shared" si="49"/>
        <v>73727.619999999879</v>
      </c>
      <c r="H139" s="488">
        <f t="shared" si="50"/>
        <v>42635.671803362398</v>
      </c>
      <c r="I139" s="542">
        <f t="shared" si="51"/>
        <v>42635.671803362398</v>
      </c>
      <c r="J139" s="478">
        <f t="shared" si="52"/>
        <v>0</v>
      </c>
      <c r="K139" s="478"/>
      <c r="L139" s="487"/>
      <c r="M139" s="478">
        <f t="shared" si="53"/>
        <v>0</v>
      </c>
      <c r="N139" s="487"/>
      <c r="O139" s="478">
        <f t="shared" si="54"/>
        <v>0</v>
      </c>
      <c r="P139" s="478">
        <f t="shared" si="55"/>
        <v>0</v>
      </c>
    </row>
    <row r="140" spans="2:16" ht="12.5">
      <c r="B140" s="160" t="str">
        <f t="shared" si="56"/>
        <v/>
      </c>
      <c r="C140" s="472">
        <f>IF(D93="","-",+C139+1)</f>
        <v>2052</v>
      </c>
      <c r="D140" s="346">
        <f>IF(F139+SUM(E$99:E139)=D$92,F139,D$92-SUM(E$99:E139))</f>
        <v>56604.619999999879</v>
      </c>
      <c r="E140" s="486">
        <f t="shared" si="47"/>
        <v>34246</v>
      </c>
      <c r="F140" s="485">
        <f t="shared" si="48"/>
        <v>22358.619999999879</v>
      </c>
      <c r="G140" s="485">
        <f t="shared" si="49"/>
        <v>39481.619999999879</v>
      </c>
      <c r="H140" s="488">
        <f t="shared" si="50"/>
        <v>38738.723813206889</v>
      </c>
      <c r="I140" s="542">
        <f t="shared" si="51"/>
        <v>38738.723813206889</v>
      </c>
      <c r="J140" s="478">
        <f t="shared" si="52"/>
        <v>0</v>
      </c>
      <c r="K140" s="478"/>
      <c r="L140" s="487"/>
      <c r="M140" s="478">
        <f t="shared" si="53"/>
        <v>0</v>
      </c>
      <c r="N140" s="487"/>
      <c r="O140" s="478">
        <f t="shared" si="54"/>
        <v>0</v>
      </c>
      <c r="P140" s="478">
        <f t="shared" si="55"/>
        <v>0</v>
      </c>
    </row>
    <row r="141" spans="2:16" ht="12.5">
      <c r="B141" s="160" t="str">
        <f t="shared" si="56"/>
        <v/>
      </c>
      <c r="C141" s="472">
        <f>IF(D93="","-",+C140+1)</f>
        <v>2053</v>
      </c>
      <c r="D141" s="346">
        <f>IF(F140+SUM(E$99:E140)=D$92,F140,D$92-SUM(E$99:E140))</f>
        <v>22358.619999999879</v>
      </c>
      <c r="E141" s="486">
        <f t="shared" si="47"/>
        <v>22358.619999999879</v>
      </c>
      <c r="F141" s="485">
        <f t="shared" si="48"/>
        <v>0</v>
      </c>
      <c r="G141" s="485">
        <f t="shared" si="49"/>
        <v>11179.309999999939</v>
      </c>
      <c r="H141" s="488">
        <f t="shared" si="50"/>
        <v>23630.744909064444</v>
      </c>
      <c r="I141" s="542">
        <f t="shared" si="51"/>
        <v>23630.744909064444</v>
      </c>
      <c r="J141" s="478">
        <f t="shared" si="52"/>
        <v>0</v>
      </c>
      <c r="K141" s="478"/>
      <c r="L141" s="487"/>
      <c r="M141" s="478">
        <f t="shared" si="53"/>
        <v>0</v>
      </c>
      <c r="N141" s="487"/>
      <c r="O141" s="478">
        <f t="shared" si="54"/>
        <v>0</v>
      </c>
      <c r="P141" s="478">
        <f t="shared" si="55"/>
        <v>0</v>
      </c>
    </row>
    <row r="142" spans="2:16" ht="12.5">
      <c r="B142" s="160" t="str">
        <f t="shared" si="56"/>
        <v/>
      </c>
      <c r="C142" s="472">
        <f>IF(D93="","-",+C141+1)</f>
        <v>2054</v>
      </c>
      <c r="D142" s="346">
        <f>IF(F141+SUM(E$99:E141)=D$92,F141,D$92-SUM(E$99:E141))</f>
        <v>0</v>
      </c>
      <c r="E142" s="486">
        <f t="shared" si="47"/>
        <v>0</v>
      </c>
      <c r="F142" s="485">
        <f t="shared" si="48"/>
        <v>0</v>
      </c>
      <c r="G142" s="485">
        <f t="shared" si="49"/>
        <v>0</v>
      </c>
      <c r="H142" s="488">
        <f t="shared" si="50"/>
        <v>0</v>
      </c>
      <c r="I142" s="542">
        <f t="shared" si="51"/>
        <v>0</v>
      </c>
      <c r="J142" s="478">
        <f t="shared" si="52"/>
        <v>0</v>
      </c>
      <c r="K142" s="478"/>
      <c r="L142" s="487"/>
      <c r="M142" s="478">
        <f t="shared" si="53"/>
        <v>0</v>
      </c>
      <c r="N142" s="487"/>
      <c r="O142" s="478">
        <f t="shared" si="54"/>
        <v>0</v>
      </c>
      <c r="P142" s="478">
        <f t="shared" si="55"/>
        <v>0</v>
      </c>
    </row>
    <row r="143" spans="2:16" ht="12.5">
      <c r="B143" s="160" t="str">
        <f t="shared" si="56"/>
        <v/>
      </c>
      <c r="C143" s="472">
        <f>IF(D93="","-",+C142+1)</f>
        <v>2055</v>
      </c>
      <c r="D143" s="346">
        <f>IF(F142+SUM(E$99:E142)=D$92,F142,D$92-SUM(E$99:E142))</f>
        <v>0</v>
      </c>
      <c r="E143" s="486">
        <f t="shared" si="47"/>
        <v>0</v>
      </c>
      <c r="F143" s="485">
        <f t="shared" si="48"/>
        <v>0</v>
      </c>
      <c r="G143" s="485">
        <f t="shared" si="49"/>
        <v>0</v>
      </c>
      <c r="H143" s="488">
        <f t="shared" si="50"/>
        <v>0</v>
      </c>
      <c r="I143" s="542">
        <f t="shared" si="51"/>
        <v>0</v>
      </c>
      <c r="J143" s="478">
        <f t="shared" si="52"/>
        <v>0</v>
      </c>
      <c r="K143" s="478"/>
      <c r="L143" s="487"/>
      <c r="M143" s="478">
        <f t="shared" si="53"/>
        <v>0</v>
      </c>
      <c r="N143" s="487"/>
      <c r="O143" s="478">
        <f t="shared" si="54"/>
        <v>0</v>
      </c>
      <c r="P143" s="478">
        <f t="shared" si="55"/>
        <v>0</v>
      </c>
    </row>
    <row r="144" spans="2:16" ht="12.5">
      <c r="B144" s="160" t="str">
        <f t="shared" si="56"/>
        <v/>
      </c>
      <c r="C144" s="472">
        <f>IF(D93="","-",+C143+1)</f>
        <v>2056</v>
      </c>
      <c r="D144" s="346">
        <f>IF(F143+SUM(E$99:E143)=D$92,F143,D$92-SUM(E$99:E143))</f>
        <v>0</v>
      </c>
      <c r="E144" s="486">
        <f t="shared" si="47"/>
        <v>0</v>
      </c>
      <c r="F144" s="485">
        <f t="shared" si="48"/>
        <v>0</v>
      </c>
      <c r="G144" s="485">
        <f t="shared" si="49"/>
        <v>0</v>
      </c>
      <c r="H144" s="488">
        <f t="shared" si="50"/>
        <v>0</v>
      </c>
      <c r="I144" s="542">
        <f t="shared" si="51"/>
        <v>0</v>
      </c>
      <c r="J144" s="478">
        <f t="shared" si="52"/>
        <v>0</v>
      </c>
      <c r="K144" s="478"/>
      <c r="L144" s="487"/>
      <c r="M144" s="478">
        <f t="shared" si="53"/>
        <v>0</v>
      </c>
      <c r="N144" s="487"/>
      <c r="O144" s="478">
        <f t="shared" si="54"/>
        <v>0</v>
      </c>
      <c r="P144" s="478">
        <f t="shared" si="55"/>
        <v>0</v>
      </c>
    </row>
    <row r="145" spans="2:16" ht="12.5">
      <c r="B145" s="160" t="str">
        <f t="shared" si="56"/>
        <v/>
      </c>
      <c r="C145" s="472">
        <f>IF(D93="","-",+C144+1)</f>
        <v>2057</v>
      </c>
      <c r="D145" s="346">
        <f>IF(F144+SUM(E$99:E144)=D$92,F144,D$92-SUM(E$99:E144))</f>
        <v>0</v>
      </c>
      <c r="E145" s="486">
        <f t="shared" si="47"/>
        <v>0</v>
      </c>
      <c r="F145" s="485">
        <f t="shared" si="48"/>
        <v>0</v>
      </c>
      <c r="G145" s="485">
        <f t="shared" si="49"/>
        <v>0</v>
      </c>
      <c r="H145" s="488">
        <f t="shared" si="50"/>
        <v>0</v>
      </c>
      <c r="I145" s="542">
        <f t="shared" si="51"/>
        <v>0</v>
      </c>
      <c r="J145" s="478">
        <f t="shared" si="52"/>
        <v>0</v>
      </c>
      <c r="K145" s="478"/>
      <c r="L145" s="487"/>
      <c r="M145" s="478">
        <f t="shared" si="53"/>
        <v>0</v>
      </c>
      <c r="N145" s="487"/>
      <c r="O145" s="478">
        <f t="shared" si="54"/>
        <v>0</v>
      </c>
      <c r="P145" s="478">
        <f t="shared" si="55"/>
        <v>0</v>
      </c>
    </row>
    <row r="146" spans="2:16" ht="12.5">
      <c r="B146" s="160" t="str">
        <f t="shared" si="56"/>
        <v/>
      </c>
      <c r="C146" s="472">
        <f>IF(D93="","-",+C145+1)</f>
        <v>2058</v>
      </c>
      <c r="D146" s="346">
        <f>IF(F145+SUM(E$99:E145)=D$92,F145,D$92-SUM(E$99:E145))</f>
        <v>0</v>
      </c>
      <c r="E146" s="486">
        <f t="shared" si="47"/>
        <v>0</v>
      </c>
      <c r="F146" s="485">
        <f t="shared" si="48"/>
        <v>0</v>
      </c>
      <c r="G146" s="485">
        <f t="shared" si="49"/>
        <v>0</v>
      </c>
      <c r="H146" s="488">
        <f t="shared" si="50"/>
        <v>0</v>
      </c>
      <c r="I146" s="542">
        <f t="shared" si="51"/>
        <v>0</v>
      </c>
      <c r="J146" s="478">
        <f t="shared" si="52"/>
        <v>0</v>
      </c>
      <c r="K146" s="478"/>
      <c r="L146" s="487"/>
      <c r="M146" s="478">
        <f t="shared" si="53"/>
        <v>0</v>
      </c>
      <c r="N146" s="487"/>
      <c r="O146" s="478">
        <f t="shared" si="54"/>
        <v>0</v>
      </c>
      <c r="P146" s="478">
        <f t="shared" si="55"/>
        <v>0</v>
      </c>
    </row>
    <row r="147" spans="2:16" ht="12.5">
      <c r="B147" s="160" t="str">
        <f t="shared" si="56"/>
        <v/>
      </c>
      <c r="C147" s="472">
        <f>IF(D93="","-",+C146+1)</f>
        <v>2059</v>
      </c>
      <c r="D147" s="346">
        <f>IF(F146+SUM(E$99:E146)=D$92,F146,D$92-SUM(E$99:E146))</f>
        <v>0</v>
      </c>
      <c r="E147" s="486">
        <f t="shared" si="47"/>
        <v>0</v>
      </c>
      <c r="F147" s="485">
        <f t="shared" si="48"/>
        <v>0</v>
      </c>
      <c r="G147" s="485">
        <f t="shared" si="49"/>
        <v>0</v>
      </c>
      <c r="H147" s="488">
        <f t="shared" si="50"/>
        <v>0</v>
      </c>
      <c r="I147" s="542">
        <f t="shared" si="51"/>
        <v>0</v>
      </c>
      <c r="J147" s="478">
        <f t="shared" si="52"/>
        <v>0</v>
      </c>
      <c r="K147" s="478"/>
      <c r="L147" s="487"/>
      <c r="M147" s="478">
        <f t="shared" si="53"/>
        <v>0</v>
      </c>
      <c r="N147" s="487"/>
      <c r="O147" s="478">
        <f t="shared" si="54"/>
        <v>0</v>
      </c>
      <c r="P147" s="478">
        <f t="shared" si="55"/>
        <v>0</v>
      </c>
    </row>
    <row r="148" spans="2:16" ht="12.5">
      <c r="B148" s="160" t="str">
        <f t="shared" si="56"/>
        <v/>
      </c>
      <c r="C148" s="472">
        <f>IF(D93="","-",+C147+1)</f>
        <v>2060</v>
      </c>
      <c r="D148" s="346">
        <f>IF(F147+SUM(E$99:E147)=D$92,F147,D$92-SUM(E$99:E147))</f>
        <v>0</v>
      </c>
      <c r="E148" s="486">
        <f t="shared" si="47"/>
        <v>0</v>
      </c>
      <c r="F148" s="485">
        <f t="shared" si="48"/>
        <v>0</v>
      </c>
      <c r="G148" s="485">
        <f t="shared" si="49"/>
        <v>0</v>
      </c>
      <c r="H148" s="488">
        <f t="shared" si="50"/>
        <v>0</v>
      </c>
      <c r="I148" s="542">
        <f t="shared" si="51"/>
        <v>0</v>
      </c>
      <c r="J148" s="478">
        <f t="shared" si="52"/>
        <v>0</v>
      </c>
      <c r="K148" s="478"/>
      <c r="L148" s="487"/>
      <c r="M148" s="478">
        <f t="shared" si="53"/>
        <v>0</v>
      </c>
      <c r="N148" s="487"/>
      <c r="O148" s="478">
        <f t="shared" si="54"/>
        <v>0</v>
      </c>
      <c r="P148" s="478">
        <f t="shared" si="55"/>
        <v>0</v>
      </c>
    </row>
    <row r="149" spans="2:16" ht="12.5">
      <c r="B149" s="160" t="str">
        <f t="shared" si="56"/>
        <v/>
      </c>
      <c r="C149" s="472">
        <f>IF(D93="","-",+C148+1)</f>
        <v>2061</v>
      </c>
      <c r="D149" s="346">
        <f>IF(F148+SUM(E$99:E148)=D$92,F148,D$92-SUM(E$99:E148))</f>
        <v>0</v>
      </c>
      <c r="E149" s="486">
        <f t="shared" si="47"/>
        <v>0</v>
      </c>
      <c r="F149" s="485">
        <f t="shared" si="48"/>
        <v>0</v>
      </c>
      <c r="G149" s="485">
        <f t="shared" si="49"/>
        <v>0</v>
      </c>
      <c r="H149" s="488">
        <f t="shared" si="50"/>
        <v>0</v>
      </c>
      <c r="I149" s="542">
        <f t="shared" si="51"/>
        <v>0</v>
      </c>
      <c r="J149" s="478">
        <f t="shared" si="52"/>
        <v>0</v>
      </c>
      <c r="K149" s="478"/>
      <c r="L149" s="487"/>
      <c r="M149" s="478">
        <f t="shared" si="53"/>
        <v>0</v>
      </c>
      <c r="N149" s="487"/>
      <c r="O149" s="478">
        <f t="shared" si="54"/>
        <v>0</v>
      </c>
      <c r="P149" s="478">
        <f t="shared" si="55"/>
        <v>0</v>
      </c>
    </row>
    <row r="150" spans="2:16" ht="12.5">
      <c r="B150" s="160" t="str">
        <f t="shared" si="56"/>
        <v/>
      </c>
      <c r="C150" s="472">
        <f>IF(D93="","-",+C149+1)</f>
        <v>2062</v>
      </c>
      <c r="D150" s="346">
        <f>IF(F149+SUM(E$99:E149)=D$92,F149,D$92-SUM(E$99:E149))</f>
        <v>0</v>
      </c>
      <c r="E150" s="486">
        <f t="shared" si="47"/>
        <v>0</v>
      </c>
      <c r="F150" s="485">
        <f t="shared" si="48"/>
        <v>0</v>
      </c>
      <c r="G150" s="485">
        <f t="shared" si="49"/>
        <v>0</v>
      </c>
      <c r="H150" s="488">
        <f t="shared" si="50"/>
        <v>0</v>
      </c>
      <c r="I150" s="542">
        <f t="shared" si="51"/>
        <v>0</v>
      </c>
      <c r="J150" s="478">
        <f t="shared" si="52"/>
        <v>0</v>
      </c>
      <c r="K150" s="478"/>
      <c r="L150" s="487"/>
      <c r="M150" s="478">
        <f t="shared" si="53"/>
        <v>0</v>
      </c>
      <c r="N150" s="487"/>
      <c r="O150" s="478">
        <f t="shared" si="54"/>
        <v>0</v>
      </c>
      <c r="P150" s="478">
        <f t="shared" si="55"/>
        <v>0</v>
      </c>
    </row>
    <row r="151" spans="2:16" ht="12.5">
      <c r="B151" s="160" t="str">
        <f t="shared" si="56"/>
        <v/>
      </c>
      <c r="C151" s="472">
        <f>IF(D93="","-",+C150+1)</f>
        <v>2063</v>
      </c>
      <c r="D151" s="346">
        <f>IF(F150+SUM(E$99:E150)=D$92,F150,D$92-SUM(E$99:E150))</f>
        <v>0</v>
      </c>
      <c r="E151" s="486">
        <f t="shared" si="47"/>
        <v>0</v>
      </c>
      <c r="F151" s="485">
        <f t="shared" si="48"/>
        <v>0</v>
      </c>
      <c r="G151" s="485">
        <f t="shared" si="49"/>
        <v>0</v>
      </c>
      <c r="H151" s="488">
        <f t="shared" si="50"/>
        <v>0</v>
      </c>
      <c r="I151" s="542">
        <f t="shared" si="51"/>
        <v>0</v>
      </c>
      <c r="J151" s="478">
        <f t="shared" si="52"/>
        <v>0</v>
      </c>
      <c r="K151" s="478"/>
      <c r="L151" s="487"/>
      <c r="M151" s="478">
        <f t="shared" si="53"/>
        <v>0</v>
      </c>
      <c r="N151" s="487"/>
      <c r="O151" s="478">
        <f t="shared" si="54"/>
        <v>0</v>
      </c>
      <c r="P151" s="478">
        <f t="shared" si="55"/>
        <v>0</v>
      </c>
    </row>
    <row r="152" spans="2:16" ht="12.5">
      <c r="B152" s="160" t="str">
        <f t="shared" si="56"/>
        <v/>
      </c>
      <c r="C152" s="472">
        <f>IF(D93="","-",+C151+1)</f>
        <v>2064</v>
      </c>
      <c r="D152" s="346">
        <f>IF(F151+SUM(E$99:E151)=D$92,F151,D$92-SUM(E$99:E151))</f>
        <v>0</v>
      </c>
      <c r="E152" s="486">
        <f t="shared" si="47"/>
        <v>0</v>
      </c>
      <c r="F152" s="485">
        <f t="shared" si="48"/>
        <v>0</v>
      </c>
      <c r="G152" s="485">
        <f t="shared" si="49"/>
        <v>0</v>
      </c>
      <c r="H152" s="488">
        <f t="shared" si="50"/>
        <v>0</v>
      </c>
      <c r="I152" s="542">
        <f t="shared" si="51"/>
        <v>0</v>
      </c>
      <c r="J152" s="478">
        <f t="shared" si="52"/>
        <v>0</v>
      </c>
      <c r="K152" s="478"/>
      <c r="L152" s="487"/>
      <c r="M152" s="478">
        <f t="shared" si="53"/>
        <v>0</v>
      </c>
      <c r="N152" s="487"/>
      <c r="O152" s="478">
        <f t="shared" si="54"/>
        <v>0</v>
      </c>
      <c r="P152" s="478">
        <f t="shared" si="55"/>
        <v>0</v>
      </c>
    </row>
    <row r="153" spans="2:16" ht="12.5">
      <c r="B153" s="160" t="str">
        <f t="shared" si="56"/>
        <v/>
      </c>
      <c r="C153" s="472">
        <f>IF(D93="","-",+C152+1)</f>
        <v>2065</v>
      </c>
      <c r="D153" s="346">
        <f>IF(F152+SUM(E$99:E152)=D$92,F152,D$92-SUM(E$99:E152))</f>
        <v>0</v>
      </c>
      <c r="E153" s="486">
        <f t="shared" si="47"/>
        <v>0</v>
      </c>
      <c r="F153" s="485">
        <f t="shared" si="48"/>
        <v>0</v>
      </c>
      <c r="G153" s="485">
        <f t="shared" si="49"/>
        <v>0</v>
      </c>
      <c r="H153" s="488">
        <f t="shared" si="50"/>
        <v>0</v>
      </c>
      <c r="I153" s="542">
        <f t="shared" si="51"/>
        <v>0</v>
      </c>
      <c r="J153" s="478">
        <f t="shared" si="52"/>
        <v>0</v>
      </c>
      <c r="K153" s="478"/>
      <c r="L153" s="487"/>
      <c r="M153" s="478">
        <f t="shared" si="53"/>
        <v>0</v>
      </c>
      <c r="N153" s="487"/>
      <c r="O153" s="478">
        <f t="shared" si="54"/>
        <v>0</v>
      </c>
      <c r="P153" s="478">
        <f t="shared" si="55"/>
        <v>0</v>
      </c>
    </row>
    <row r="154" spans="2:16" ht="13" thickBot="1">
      <c r="B154" s="160" t="str">
        <f t="shared" si="56"/>
        <v/>
      </c>
      <c r="C154" s="489">
        <f>IF(D93="","-",+C153+1)</f>
        <v>2066</v>
      </c>
      <c r="D154" s="576">
        <f>IF(F153+SUM(E$99:E153)=D$92,F153,D$92-SUM(E$99:E153))</f>
        <v>0</v>
      </c>
      <c r="E154" s="544">
        <f t="shared" si="47"/>
        <v>0</v>
      </c>
      <c r="F154" s="490">
        <f t="shared" si="48"/>
        <v>0</v>
      </c>
      <c r="G154" s="490">
        <f t="shared" si="49"/>
        <v>0</v>
      </c>
      <c r="H154" s="492">
        <f t="shared" si="50"/>
        <v>0</v>
      </c>
      <c r="I154" s="545">
        <f t="shared" si="51"/>
        <v>0</v>
      </c>
      <c r="J154" s="495">
        <f t="shared" si="52"/>
        <v>0</v>
      </c>
      <c r="K154" s="478"/>
      <c r="L154" s="494"/>
      <c r="M154" s="495">
        <f t="shared" si="53"/>
        <v>0</v>
      </c>
      <c r="N154" s="494"/>
      <c r="O154" s="495">
        <f t="shared" si="54"/>
        <v>0</v>
      </c>
      <c r="P154" s="495">
        <f t="shared" si="55"/>
        <v>0</v>
      </c>
    </row>
    <row r="155" spans="2:16" ht="12.5">
      <c r="C155" s="346" t="s">
        <v>77</v>
      </c>
      <c r="D155" s="347"/>
      <c r="E155" s="347">
        <f>SUM(E99:E154)</f>
        <v>1404099.6199999999</v>
      </c>
      <c r="F155" s="347"/>
      <c r="G155" s="347"/>
      <c r="H155" s="347">
        <f>SUM(H99:H154)</f>
        <v>5054950.3756767865</v>
      </c>
      <c r="I155" s="347">
        <f>SUM(I99:I154)</f>
        <v>5054950.3756767865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/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8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12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385776.25641025638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385776.25641025638</v>
      </c>
      <c r="O6" s="232"/>
      <c r="P6" s="232"/>
    </row>
    <row r="7" spans="1:16" ht="13.5" thickBot="1">
      <c r="C7" s="431" t="s">
        <v>46</v>
      </c>
      <c r="D7" s="432" t="s">
        <v>237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236</v>
      </c>
      <c r="E9" s="577" t="s">
        <v>294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3305767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2012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8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84763.256410256407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2012</v>
      </c>
      <c r="D17" s="473">
        <v>1132400</v>
      </c>
      <c r="E17" s="474">
        <v>3629.4871794871797</v>
      </c>
      <c r="F17" s="473">
        <v>1128770.5128205128</v>
      </c>
      <c r="G17" s="474">
        <v>160761.94360740471</v>
      </c>
      <c r="H17" s="481">
        <v>160761.94360740471</v>
      </c>
      <c r="I17" s="475">
        <f t="shared" ref="I17:I48" si="0">H17-G17</f>
        <v>0</v>
      </c>
      <c r="J17" s="475"/>
      <c r="K17" s="554">
        <f t="shared" ref="K17:K22" si="1">G17</f>
        <v>160761.94360740471</v>
      </c>
      <c r="L17" s="562">
        <f t="shared" ref="L17:L48" si="2">IF(K17&lt;&gt;0,+G17-K17,0)</f>
        <v>0</v>
      </c>
      <c r="M17" s="554">
        <f t="shared" ref="M17:M22" si="3">H17</f>
        <v>160761.94360740471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 t="shared" ref="B18:B49" si="6">IF(D18=F17,"","IU")</f>
        <v>IU</v>
      </c>
      <c r="C18" s="472">
        <f>IF(D11="","-",+C17+1)</f>
        <v>2013</v>
      </c>
      <c r="D18" s="473">
        <v>2746405</v>
      </c>
      <c r="E18" s="480">
        <v>52885</v>
      </c>
      <c r="F18" s="473">
        <v>2693519</v>
      </c>
      <c r="G18" s="480">
        <v>437538</v>
      </c>
      <c r="H18" s="481">
        <v>437538</v>
      </c>
      <c r="I18" s="475">
        <f t="shared" si="0"/>
        <v>0</v>
      </c>
      <c r="J18" s="475"/>
      <c r="K18" s="476">
        <f t="shared" si="1"/>
        <v>437538</v>
      </c>
      <c r="L18" s="550">
        <f t="shared" ref="L18:L23" si="7">IF(K18&lt;&gt;0,+G18-K18,0)</f>
        <v>0</v>
      </c>
      <c r="M18" s="476">
        <f t="shared" si="3"/>
        <v>437538</v>
      </c>
      <c r="N18" s="478">
        <f t="shared" ref="N18:N23" si="8">IF(M18&lt;&gt;0,+H18-M18,0)</f>
        <v>0</v>
      </c>
      <c r="O18" s="478">
        <f t="shared" ref="O18:O23" si="9">+N18-L18</f>
        <v>0</v>
      </c>
      <c r="P18" s="242"/>
    </row>
    <row r="19" spans="2:16" ht="12.5">
      <c r="B19" s="160" t="str">
        <f t="shared" si="6"/>
        <v>IU</v>
      </c>
      <c r="C19" s="472">
        <f>IF(D11="","-",+C18+1)</f>
        <v>2014</v>
      </c>
      <c r="D19" s="473">
        <v>3185619.512820513</v>
      </c>
      <c r="E19" s="480">
        <v>62348.730769230766</v>
      </c>
      <c r="F19" s="473">
        <v>3123270.782051282</v>
      </c>
      <c r="G19" s="480">
        <v>492294.73076923075</v>
      </c>
      <c r="H19" s="481">
        <v>492294.73076923075</v>
      </c>
      <c r="I19" s="475">
        <v>0</v>
      </c>
      <c r="J19" s="475"/>
      <c r="K19" s="476">
        <f t="shared" si="1"/>
        <v>492294.73076923075</v>
      </c>
      <c r="L19" s="550">
        <f t="shared" si="7"/>
        <v>0</v>
      </c>
      <c r="M19" s="476">
        <f t="shared" si="3"/>
        <v>492294.73076923075</v>
      </c>
      <c r="N19" s="478">
        <f t="shared" si="8"/>
        <v>0</v>
      </c>
      <c r="O19" s="478">
        <f t="shared" si="9"/>
        <v>0</v>
      </c>
      <c r="P19" s="242"/>
    </row>
    <row r="20" spans="2:16" ht="12.5">
      <c r="B20" s="160" t="str">
        <f t="shared" si="6"/>
        <v>IU</v>
      </c>
      <c r="C20" s="472">
        <f>IF(D11="","-",+C19+1)</f>
        <v>2015</v>
      </c>
      <c r="D20" s="473">
        <v>3186903.9220512821</v>
      </c>
      <c r="E20" s="480">
        <v>63572.445</v>
      </c>
      <c r="F20" s="473">
        <v>3123331.4770512823</v>
      </c>
      <c r="G20" s="480">
        <v>494191.44500000001</v>
      </c>
      <c r="H20" s="481">
        <v>494191.44500000001</v>
      </c>
      <c r="I20" s="475">
        <v>0</v>
      </c>
      <c r="J20" s="475"/>
      <c r="K20" s="476">
        <f t="shared" si="1"/>
        <v>494191.44500000001</v>
      </c>
      <c r="L20" s="550">
        <f t="shared" si="7"/>
        <v>0</v>
      </c>
      <c r="M20" s="476">
        <f t="shared" si="3"/>
        <v>494191.44500000001</v>
      </c>
      <c r="N20" s="478">
        <f t="shared" si="8"/>
        <v>0</v>
      </c>
      <c r="O20" s="478">
        <f t="shared" si="9"/>
        <v>0</v>
      </c>
      <c r="P20" s="242"/>
    </row>
    <row r="21" spans="2:16" ht="12.5">
      <c r="B21" s="160" t="str">
        <f t="shared" si="6"/>
        <v/>
      </c>
      <c r="C21" s="472">
        <f>IF(D11="","-",+C20+1)</f>
        <v>2016</v>
      </c>
      <c r="D21" s="473">
        <v>3123331.4770512823</v>
      </c>
      <c r="E21" s="480">
        <v>63572.445</v>
      </c>
      <c r="F21" s="473">
        <v>3059759.0320512825</v>
      </c>
      <c r="G21" s="480">
        <v>464889.44500000001</v>
      </c>
      <c r="H21" s="481">
        <v>464889.44500000001</v>
      </c>
      <c r="I21" s="475">
        <f t="shared" si="0"/>
        <v>0</v>
      </c>
      <c r="J21" s="475"/>
      <c r="K21" s="476">
        <f t="shared" si="1"/>
        <v>464889.44500000001</v>
      </c>
      <c r="L21" s="550">
        <f t="shared" si="7"/>
        <v>0</v>
      </c>
      <c r="M21" s="476">
        <f t="shared" si="3"/>
        <v>464889.44500000001</v>
      </c>
      <c r="N21" s="478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2017</v>
      </c>
      <c r="D22" s="473">
        <v>3059759.0320512825</v>
      </c>
      <c r="E22" s="480">
        <v>71864.503043478268</v>
      </c>
      <c r="F22" s="473">
        <v>2987894.5290078041</v>
      </c>
      <c r="G22" s="480">
        <v>452105.50304347824</v>
      </c>
      <c r="H22" s="481">
        <v>452105.50304347824</v>
      </c>
      <c r="I22" s="475">
        <f t="shared" si="0"/>
        <v>0</v>
      </c>
      <c r="J22" s="475"/>
      <c r="K22" s="476">
        <f t="shared" si="1"/>
        <v>452105.50304347824</v>
      </c>
      <c r="L22" s="550">
        <f t="shared" si="7"/>
        <v>0</v>
      </c>
      <c r="M22" s="476">
        <f t="shared" si="3"/>
        <v>452105.50304347824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2018</v>
      </c>
      <c r="D23" s="473">
        <v>2987894.5290078041</v>
      </c>
      <c r="E23" s="480">
        <v>73461.491999999998</v>
      </c>
      <c r="F23" s="473">
        <v>2914433.037007804</v>
      </c>
      <c r="G23" s="480">
        <v>467887.49199999997</v>
      </c>
      <c r="H23" s="481">
        <v>467887.49199999997</v>
      </c>
      <c r="I23" s="475">
        <f t="shared" si="0"/>
        <v>0</v>
      </c>
      <c r="J23" s="475"/>
      <c r="K23" s="476">
        <f>G23</f>
        <v>467887.49199999997</v>
      </c>
      <c r="L23" s="550">
        <f t="shared" si="7"/>
        <v>0</v>
      </c>
      <c r="M23" s="476">
        <f>H23</f>
        <v>467887.49199999997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2019</v>
      </c>
      <c r="D24" s="473">
        <v>2914433.037007804</v>
      </c>
      <c r="E24" s="480">
        <v>73461.491999999998</v>
      </c>
      <c r="F24" s="473">
        <v>2840971.5450078039</v>
      </c>
      <c r="G24" s="480">
        <v>457945.49199999997</v>
      </c>
      <c r="H24" s="481">
        <v>457945.49199999997</v>
      </c>
      <c r="I24" s="475">
        <f t="shared" si="0"/>
        <v>0</v>
      </c>
      <c r="J24" s="475"/>
      <c r="K24" s="476">
        <f>G24</f>
        <v>457945.49199999997</v>
      </c>
      <c r="L24" s="550">
        <f t="shared" ref="L24" si="10">IF(K24&lt;&gt;0,+G24-K24,0)</f>
        <v>0</v>
      </c>
      <c r="M24" s="476">
        <f>H24</f>
        <v>457945.49199999997</v>
      </c>
      <c r="N24" s="478">
        <f t="shared" ref="N24" si="11">IF(M24&lt;&gt;0,+H24-M24,0)</f>
        <v>0</v>
      </c>
      <c r="O24" s="478">
        <f t="shared" ref="O24" si="12">+N24-L24</f>
        <v>0</v>
      </c>
      <c r="P24" s="242"/>
    </row>
    <row r="25" spans="2:16" ht="12.5">
      <c r="B25" s="160" t="str">
        <f t="shared" si="6"/>
        <v/>
      </c>
      <c r="C25" s="472">
        <f>IF(D11="","-",+C24+1)</f>
        <v>2020</v>
      </c>
      <c r="D25" s="473">
        <v>2840971.5450078039</v>
      </c>
      <c r="E25" s="480">
        <v>78708.741428571433</v>
      </c>
      <c r="F25" s="473">
        <v>2762262.8035792327</v>
      </c>
      <c r="G25" s="480">
        <v>381296.77932523622</v>
      </c>
      <c r="H25" s="481">
        <v>381296.77932523622</v>
      </c>
      <c r="I25" s="475">
        <f t="shared" si="0"/>
        <v>0</v>
      </c>
      <c r="J25" s="475"/>
      <c r="K25" s="476">
        <f>G25</f>
        <v>381296.77932523622</v>
      </c>
      <c r="L25" s="550">
        <f t="shared" ref="L25" si="13">IF(K25&lt;&gt;0,+G25-K25,0)</f>
        <v>0</v>
      </c>
      <c r="M25" s="476">
        <f>H25</f>
        <v>381296.77932523622</v>
      </c>
      <c r="N25" s="478">
        <f t="shared" si="4"/>
        <v>0</v>
      </c>
      <c r="O25" s="478">
        <f t="shared" si="5"/>
        <v>0</v>
      </c>
      <c r="P25" s="242"/>
    </row>
    <row r="26" spans="2:16" ht="12.5">
      <c r="B26" s="160" t="str">
        <f t="shared" si="6"/>
        <v>IU</v>
      </c>
      <c r="C26" s="472">
        <f>IF(D11="","-",+C25+1)</f>
        <v>2021</v>
      </c>
      <c r="D26" s="473">
        <v>2753080.1170792324</v>
      </c>
      <c r="E26" s="480">
        <v>76878.305581395354</v>
      </c>
      <c r="F26" s="473">
        <v>2676201.8114978368</v>
      </c>
      <c r="G26" s="480">
        <v>365431.30558139534</v>
      </c>
      <c r="H26" s="481">
        <v>365431.30558139534</v>
      </c>
      <c r="I26" s="475">
        <f t="shared" si="0"/>
        <v>0</v>
      </c>
      <c r="J26" s="475"/>
      <c r="K26" s="476">
        <f>G26</f>
        <v>365431.30558139534</v>
      </c>
      <c r="L26" s="550">
        <f t="shared" ref="L26" si="14">IF(K26&lt;&gt;0,+G26-K26,0)</f>
        <v>0</v>
      </c>
      <c r="M26" s="476">
        <f>H26</f>
        <v>365431.30558139534</v>
      </c>
      <c r="N26" s="478">
        <f t="shared" si="4"/>
        <v>0</v>
      </c>
      <c r="O26" s="478">
        <f t="shared" si="5"/>
        <v>0</v>
      </c>
      <c r="P26" s="242"/>
    </row>
    <row r="27" spans="2:16" ht="12.5">
      <c r="B27" s="160" t="str">
        <f t="shared" si="6"/>
        <v>IU</v>
      </c>
      <c r="C27" s="472">
        <f>IF(D11="","-",+C26+1)</f>
        <v>2022</v>
      </c>
      <c r="D27" s="473">
        <v>2685384.4979978371</v>
      </c>
      <c r="E27" s="480">
        <v>78708.741428571433</v>
      </c>
      <c r="F27" s="473">
        <v>2606675.7565692659</v>
      </c>
      <c r="G27" s="480">
        <v>359737.7414285714</v>
      </c>
      <c r="H27" s="481">
        <v>359737.7414285714</v>
      </c>
      <c r="I27" s="475">
        <f t="shared" si="0"/>
        <v>0</v>
      </c>
      <c r="J27" s="475"/>
      <c r="K27" s="476">
        <f>G27</f>
        <v>359737.7414285714</v>
      </c>
      <c r="L27" s="550">
        <f t="shared" ref="L27" si="15">IF(K27&lt;&gt;0,+G27-K27,0)</f>
        <v>0</v>
      </c>
      <c r="M27" s="476">
        <f>H27</f>
        <v>359737.7414285714</v>
      </c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>IU</v>
      </c>
      <c r="C28" s="472">
        <f>IF(D11="","-",+C27+1)</f>
        <v>2023</v>
      </c>
      <c r="D28" s="485">
        <f>IF(F27+SUM(E$17:E27)=D$10,F27,D$10-SUM(E$17:E27))</f>
        <v>2606675.6165692657</v>
      </c>
      <c r="E28" s="484">
        <f>IF(+I14&lt;F27,I14,D28)</f>
        <v>84763.256410256407</v>
      </c>
      <c r="F28" s="485">
        <f t="shared" ref="F28:F48" si="16">+D28-E28</f>
        <v>2521912.3601590092</v>
      </c>
      <c r="G28" s="486">
        <f t="shared" ref="G28:G49" si="17">ROUND(I$12*F28,0)+E28</f>
        <v>385776.25641025638</v>
      </c>
      <c r="H28" s="455">
        <f t="shared" ref="H28:H49" si="18">ROUND(I$13*F28,0)+E28</f>
        <v>385776.25641025638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2024</v>
      </c>
      <c r="D29" s="485">
        <f>IF(F28+SUM(E$17:E28)=D$10,F28,D$10-SUM(E$17:E28))</f>
        <v>2521912.3601590092</v>
      </c>
      <c r="E29" s="484">
        <f>IF(+I14&lt;F28,I14,D29)</f>
        <v>84763.256410256407</v>
      </c>
      <c r="F29" s="485">
        <f t="shared" si="16"/>
        <v>2437149.1037487527</v>
      </c>
      <c r="G29" s="486">
        <f t="shared" si="17"/>
        <v>375659.25641025638</v>
      </c>
      <c r="H29" s="455">
        <f t="shared" si="18"/>
        <v>375659.25641025638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2025</v>
      </c>
      <c r="D30" s="485">
        <f>IF(F29+SUM(E$17:E29)=D$10,F29,D$10-SUM(E$17:E29))</f>
        <v>2437149.1037487527</v>
      </c>
      <c r="E30" s="484">
        <f>IF(+I14&lt;F29,I14,D30)</f>
        <v>84763.256410256407</v>
      </c>
      <c r="F30" s="485">
        <f t="shared" si="16"/>
        <v>2352385.8473384962</v>
      </c>
      <c r="G30" s="486">
        <f t="shared" si="17"/>
        <v>365541.25641025638</v>
      </c>
      <c r="H30" s="455">
        <f t="shared" si="18"/>
        <v>365541.25641025638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2026</v>
      </c>
      <c r="D31" s="485">
        <f>IF(F30+SUM(E$17:E30)=D$10,F30,D$10-SUM(E$17:E30))</f>
        <v>2352385.8473384962</v>
      </c>
      <c r="E31" s="484">
        <f>IF(+I14&lt;F30,I14,D31)</f>
        <v>84763.256410256407</v>
      </c>
      <c r="F31" s="485">
        <f t="shared" si="16"/>
        <v>2267622.5909282397</v>
      </c>
      <c r="G31" s="486">
        <f t="shared" si="17"/>
        <v>355424.25641025638</v>
      </c>
      <c r="H31" s="455">
        <f t="shared" si="18"/>
        <v>355424.25641025638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2027</v>
      </c>
      <c r="D32" s="485">
        <f>IF(F31+SUM(E$17:E31)=D$10,F31,D$10-SUM(E$17:E31))</f>
        <v>2267622.5909282397</v>
      </c>
      <c r="E32" s="484">
        <f>IF(+I14&lt;F31,I14,D32)</f>
        <v>84763.256410256407</v>
      </c>
      <c r="F32" s="485">
        <f t="shared" si="16"/>
        <v>2182859.3345179833</v>
      </c>
      <c r="G32" s="486">
        <f t="shared" si="17"/>
        <v>345307.25641025638</v>
      </c>
      <c r="H32" s="455">
        <f t="shared" si="18"/>
        <v>345307.25641025638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2028</v>
      </c>
      <c r="D33" s="485">
        <f>IF(F32+SUM(E$17:E32)=D$10,F32,D$10-SUM(E$17:E32))</f>
        <v>2182859.3345179833</v>
      </c>
      <c r="E33" s="484">
        <f>IF(+I14&lt;F32,I14,D33)</f>
        <v>84763.256410256407</v>
      </c>
      <c r="F33" s="485">
        <f t="shared" si="16"/>
        <v>2098096.0781077268</v>
      </c>
      <c r="G33" s="486">
        <f t="shared" si="17"/>
        <v>335190.25641025638</v>
      </c>
      <c r="H33" s="455">
        <f t="shared" si="18"/>
        <v>335190.25641025638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2029</v>
      </c>
      <c r="D34" s="485">
        <f>IF(F33+SUM(E$17:E33)=D$10,F33,D$10-SUM(E$17:E33))</f>
        <v>2098096.0781077268</v>
      </c>
      <c r="E34" s="484">
        <f>IF(+I14&lt;F33,I14,D34)</f>
        <v>84763.256410256407</v>
      </c>
      <c r="F34" s="485">
        <f t="shared" si="16"/>
        <v>2013332.8216974703</v>
      </c>
      <c r="G34" s="486">
        <f t="shared" si="17"/>
        <v>325072.25641025638</v>
      </c>
      <c r="H34" s="455">
        <f t="shared" si="18"/>
        <v>325072.25641025638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2030</v>
      </c>
      <c r="D35" s="485">
        <f>IF(F34+SUM(E$17:E34)=D$10,F34,D$10-SUM(E$17:E34))</f>
        <v>2013332.8216974703</v>
      </c>
      <c r="E35" s="484">
        <f>IF(+I14&lt;F34,I14,D35)</f>
        <v>84763.256410256407</v>
      </c>
      <c r="F35" s="485">
        <f t="shared" si="16"/>
        <v>1928569.5652872138</v>
      </c>
      <c r="G35" s="486">
        <f t="shared" si="17"/>
        <v>314955.25641025638</v>
      </c>
      <c r="H35" s="455">
        <f t="shared" si="18"/>
        <v>314955.25641025638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2031</v>
      </c>
      <c r="D36" s="485">
        <f>IF(F35+SUM(E$17:E35)=D$10,F35,D$10-SUM(E$17:E35))</f>
        <v>1928569.5652872138</v>
      </c>
      <c r="E36" s="484">
        <f>IF(+I14&lt;F35,I14,D36)</f>
        <v>84763.256410256407</v>
      </c>
      <c r="F36" s="485">
        <f t="shared" si="16"/>
        <v>1843806.3088769573</v>
      </c>
      <c r="G36" s="486">
        <f t="shared" si="17"/>
        <v>304838.25641025638</v>
      </c>
      <c r="H36" s="455">
        <f t="shared" si="18"/>
        <v>304838.25641025638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2032</v>
      </c>
      <c r="D37" s="485">
        <f>IF(F36+SUM(E$17:E36)=D$10,F36,D$10-SUM(E$17:E36))</f>
        <v>1843806.3088769573</v>
      </c>
      <c r="E37" s="484">
        <f>IF(+I14&lt;F36,I14,D37)</f>
        <v>84763.256410256407</v>
      </c>
      <c r="F37" s="485">
        <f t="shared" si="16"/>
        <v>1759043.0524667008</v>
      </c>
      <c r="G37" s="486">
        <f t="shared" si="17"/>
        <v>294721.25641025638</v>
      </c>
      <c r="H37" s="455">
        <f t="shared" si="18"/>
        <v>294721.25641025638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2033</v>
      </c>
      <c r="D38" s="485">
        <f>IF(F37+SUM(E$17:E37)=D$10,F37,D$10-SUM(E$17:E37))</f>
        <v>1759043.0524667008</v>
      </c>
      <c r="E38" s="484">
        <f>IF(+I14&lt;F37,I14,D38)</f>
        <v>84763.256410256407</v>
      </c>
      <c r="F38" s="485">
        <f t="shared" si="16"/>
        <v>1674279.7960564443</v>
      </c>
      <c r="G38" s="486">
        <f t="shared" si="17"/>
        <v>284603.25641025638</v>
      </c>
      <c r="H38" s="455">
        <f t="shared" si="18"/>
        <v>284603.25641025638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2034</v>
      </c>
      <c r="D39" s="485">
        <f>IF(F38+SUM(E$17:E38)=D$10,F38,D$10-SUM(E$17:E38))</f>
        <v>1674279.7960564443</v>
      </c>
      <c r="E39" s="484">
        <f>IF(+I14&lt;F38,I14,D39)</f>
        <v>84763.256410256407</v>
      </c>
      <c r="F39" s="485">
        <f t="shared" si="16"/>
        <v>1589516.5396461878</v>
      </c>
      <c r="G39" s="486">
        <f t="shared" si="17"/>
        <v>274486.25641025638</v>
      </c>
      <c r="H39" s="455">
        <f t="shared" si="18"/>
        <v>274486.25641025638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2035</v>
      </c>
      <c r="D40" s="485">
        <f>IF(F39+SUM(E$17:E39)=D$10,F39,D$10-SUM(E$17:E39))</f>
        <v>1589516.5396461878</v>
      </c>
      <c r="E40" s="484">
        <f>IF(+I14&lt;F39,I14,D40)</f>
        <v>84763.256410256407</v>
      </c>
      <c r="F40" s="485">
        <f t="shared" si="16"/>
        <v>1504753.2832359313</v>
      </c>
      <c r="G40" s="486">
        <f t="shared" si="17"/>
        <v>264369.25641025638</v>
      </c>
      <c r="H40" s="455">
        <f t="shared" si="18"/>
        <v>264369.25641025638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2036</v>
      </c>
      <c r="D41" s="485">
        <f>IF(F40+SUM(E$17:E40)=D$10,F40,D$10-SUM(E$17:E40))</f>
        <v>1504753.2832359313</v>
      </c>
      <c r="E41" s="484">
        <f>IF(+I14&lt;F40,I14,D41)</f>
        <v>84763.256410256407</v>
      </c>
      <c r="F41" s="485">
        <f t="shared" si="16"/>
        <v>1419990.0268256748</v>
      </c>
      <c r="G41" s="486">
        <f t="shared" si="17"/>
        <v>254252.25641025641</v>
      </c>
      <c r="H41" s="455">
        <f t="shared" si="18"/>
        <v>254252.25641025641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2037</v>
      </c>
      <c r="D42" s="485">
        <f>IF(F41+SUM(E$17:E41)=D$10,F41,D$10-SUM(E$17:E41))</f>
        <v>1419990.0268256748</v>
      </c>
      <c r="E42" s="484">
        <f>IF(+I14&lt;F41,I14,D42)</f>
        <v>84763.256410256407</v>
      </c>
      <c r="F42" s="485">
        <f t="shared" si="16"/>
        <v>1335226.7704154183</v>
      </c>
      <c r="G42" s="486">
        <f t="shared" si="17"/>
        <v>244134.25641025641</v>
      </c>
      <c r="H42" s="455">
        <f t="shared" si="18"/>
        <v>244134.25641025641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2038</v>
      </c>
      <c r="D43" s="485">
        <f>IF(F42+SUM(E$17:E42)=D$10,F42,D$10-SUM(E$17:E42))</f>
        <v>1335226.7704154183</v>
      </c>
      <c r="E43" s="484">
        <f>IF(+I14&lt;F42,I14,D43)</f>
        <v>84763.256410256407</v>
      </c>
      <c r="F43" s="485">
        <f t="shared" si="16"/>
        <v>1250463.5140051618</v>
      </c>
      <c r="G43" s="486">
        <f t="shared" si="17"/>
        <v>234017.25641025641</v>
      </c>
      <c r="H43" s="455">
        <f t="shared" si="18"/>
        <v>234017.25641025641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2039</v>
      </c>
      <c r="D44" s="485">
        <f>IF(F43+SUM(E$17:E43)=D$10,F43,D$10-SUM(E$17:E43))</f>
        <v>1250463.5140051618</v>
      </c>
      <c r="E44" s="484">
        <f>IF(+I14&lt;F43,I14,D44)</f>
        <v>84763.256410256407</v>
      </c>
      <c r="F44" s="485">
        <f t="shared" si="16"/>
        <v>1165700.2575949053</v>
      </c>
      <c r="G44" s="486">
        <f t="shared" si="17"/>
        <v>223900.25641025641</v>
      </c>
      <c r="H44" s="455">
        <f t="shared" si="18"/>
        <v>223900.25641025641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2040</v>
      </c>
      <c r="D45" s="485">
        <f>IF(F44+SUM(E$17:E44)=D$10,F44,D$10-SUM(E$17:E44))</f>
        <v>1165700.2575949053</v>
      </c>
      <c r="E45" s="484">
        <f>IF(+I14&lt;F44,I14,D45)</f>
        <v>84763.256410256407</v>
      </c>
      <c r="F45" s="485">
        <f t="shared" si="16"/>
        <v>1080937.0011846488</v>
      </c>
      <c r="G45" s="486">
        <f t="shared" si="17"/>
        <v>213783.25641025641</v>
      </c>
      <c r="H45" s="455">
        <f t="shared" si="18"/>
        <v>213783.25641025641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2041</v>
      </c>
      <c r="D46" s="485">
        <f>IF(F45+SUM(E$17:E45)=D$10,F45,D$10-SUM(E$17:E45))</f>
        <v>1080937.0011846488</v>
      </c>
      <c r="E46" s="484">
        <f>IF(+I14&lt;F45,I14,D46)</f>
        <v>84763.256410256407</v>
      </c>
      <c r="F46" s="485">
        <f t="shared" si="16"/>
        <v>996173.74477439246</v>
      </c>
      <c r="G46" s="486">
        <f t="shared" si="17"/>
        <v>203665.25641025641</v>
      </c>
      <c r="H46" s="455">
        <f t="shared" si="18"/>
        <v>203665.25641025641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2042</v>
      </c>
      <c r="D47" s="485">
        <f>IF(F46+SUM(E$17:E46)=D$10,F46,D$10-SUM(E$17:E46))</f>
        <v>996173.74477439246</v>
      </c>
      <c r="E47" s="484">
        <f>IF(+I14&lt;F46,I14,D47)</f>
        <v>84763.256410256407</v>
      </c>
      <c r="F47" s="485">
        <f t="shared" si="16"/>
        <v>911410.48836413608</v>
      </c>
      <c r="G47" s="486">
        <f t="shared" si="17"/>
        <v>193548.25641025641</v>
      </c>
      <c r="H47" s="455">
        <f t="shared" si="18"/>
        <v>193548.25641025641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2043</v>
      </c>
      <c r="D48" s="485">
        <f>IF(F47+SUM(E$17:E47)=D$10,F47,D$10-SUM(E$17:E47))</f>
        <v>911410.48836413608</v>
      </c>
      <c r="E48" s="484">
        <f>IF(+I14&lt;F47,I14,D48)</f>
        <v>84763.256410256407</v>
      </c>
      <c r="F48" s="485">
        <f t="shared" si="16"/>
        <v>826647.2319538797</v>
      </c>
      <c r="G48" s="486">
        <f t="shared" si="17"/>
        <v>183431.25641025641</v>
      </c>
      <c r="H48" s="455">
        <f t="shared" si="18"/>
        <v>183431.25641025641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2044</v>
      </c>
      <c r="D49" s="485">
        <f>IF(F48+SUM(E$17:E48)=D$10,F48,D$10-SUM(E$17:E48))</f>
        <v>826647.2319538797</v>
      </c>
      <c r="E49" s="484">
        <f>IF(+I14&lt;F48,I14,D49)</f>
        <v>84763.256410256407</v>
      </c>
      <c r="F49" s="485">
        <f t="shared" ref="F49:F72" si="19">+D49-E49</f>
        <v>741883.97554362332</v>
      </c>
      <c r="G49" s="486">
        <f t="shared" si="17"/>
        <v>173313.25641025641</v>
      </c>
      <c r="H49" s="455">
        <f t="shared" si="18"/>
        <v>173313.25641025641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2"/>
    </row>
    <row r="50" spans="2:16" ht="12.5">
      <c r="B50" s="160" t="str">
        <f t="shared" ref="B50:B72" si="24">IF(D50=F49,"","IU")</f>
        <v/>
      </c>
      <c r="C50" s="472">
        <f>IF(D11="","-",+C49+1)</f>
        <v>2045</v>
      </c>
      <c r="D50" s="485">
        <f>IF(F49+SUM(E$17:E49)=D$10,F49,D$10-SUM(E$17:E49))</f>
        <v>741883.97554362332</v>
      </c>
      <c r="E50" s="484">
        <f>IF(+I14&lt;F49,I14,D50)</f>
        <v>84763.256410256407</v>
      </c>
      <c r="F50" s="485">
        <f t="shared" si="19"/>
        <v>657120.71913336695</v>
      </c>
      <c r="G50" s="486">
        <f t="shared" ref="G50:G72" si="25">ROUND(I$12*F50,0)+E50</f>
        <v>163196.25641025641</v>
      </c>
      <c r="H50" s="455">
        <f t="shared" ref="H50:H72" si="26">ROUND(I$13*F50,0)+E50</f>
        <v>163196.25641025641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 ht="12.5">
      <c r="B51" s="160" t="str">
        <f t="shared" si="24"/>
        <v/>
      </c>
      <c r="C51" s="472">
        <f>IF(D11="","-",+C50+1)</f>
        <v>2046</v>
      </c>
      <c r="D51" s="485">
        <f>IF(F50+SUM(E$17:E50)=D$10,F50,D$10-SUM(E$17:E50))</f>
        <v>657120.71913336695</v>
      </c>
      <c r="E51" s="484">
        <f>IF(+I14&lt;F50,I14,D51)</f>
        <v>84763.256410256407</v>
      </c>
      <c r="F51" s="485">
        <f t="shared" si="19"/>
        <v>572357.46272311057</v>
      </c>
      <c r="G51" s="486">
        <f t="shared" si="25"/>
        <v>153079.25641025641</v>
      </c>
      <c r="H51" s="455">
        <f t="shared" si="26"/>
        <v>153079.25641025641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 ht="12.5">
      <c r="B52" s="160" t="str">
        <f t="shared" si="24"/>
        <v/>
      </c>
      <c r="C52" s="472">
        <f>IF(D11="","-",+C51+1)</f>
        <v>2047</v>
      </c>
      <c r="D52" s="485">
        <f>IF(F51+SUM(E$17:E51)=D$10,F51,D$10-SUM(E$17:E51))</f>
        <v>572357.46272311057</v>
      </c>
      <c r="E52" s="484">
        <f>IF(+I14&lt;F51,I14,D52)</f>
        <v>84763.256410256407</v>
      </c>
      <c r="F52" s="485">
        <f t="shared" si="19"/>
        <v>487594.20631285419</v>
      </c>
      <c r="G52" s="486">
        <f t="shared" si="25"/>
        <v>142962.25641025641</v>
      </c>
      <c r="H52" s="455">
        <f t="shared" si="26"/>
        <v>142962.25641025641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 ht="12.5">
      <c r="B53" s="160" t="str">
        <f t="shared" si="24"/>
        <v/>
      </c>
      <c r="C53" s="472">
        <f>IF(D11="","-",+C52+1)</f>
        <v>2048</v>
      </c>
      <c r="D53" s="485">
        <f>IF(F52+SUM(E$17:E52)=D$10,F52,D$10-SUM(E$17:E52))</f>
        <v>487594.20631285419</v>
      </c>
      <c r="E53" s="484">
        <f>IF(+I14&lt;F52,I14,D53)</f>
        <v>84763.256410256407</v>
      </c>
      <c r="F53" s="485">
        <f t="shared" si="19"/>
        <v>402830.94990259781</v>
      </c>
      <c r="G53" s="486">
        <f t="shared" si="25"/>
        <v>132844.25641025641</v>
      </c>
      <c r="H53" s="455">
        <f t="shared" si="26"/>
        <v>132844.25641025641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 ht="12.5">
      <c r="B54" s="160" t="str">
        <f t="shared" si="24"/>
        <v/>
      </c>
      <c r="C54" s="472">
        <f>IF(D11="","-",+C53+1)</f>
        <v>2049</v>
      </c>
      <c r="D54" s="485">
        <f>IF(F53+SUM(E$17:E53)=D$10,F53,D$10-SUM(E$17:E53))</f>
        <v>402830.94990259781</v>
      </c>
      <c r="E54" s="484">
        <f>IF(+I14&lt;F53,I14,D54)</f>
        <v>84763.256410256407</v>
      </c>
      <c r="F54" s="485">
        <f t="shared" si="19"/>
        <v>318067.69349234144</v>
      </c>
      <c r="G54" s="486">
        <f t="shared" si="25"/>
        <v>122727.25641025641</v>
      </c>
      <c r="H54" s="455">
        <f t="shared" si="26"/>
        <v>122727.25641025641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 ht="12.5">
      <c r="B55" s="160" t="str">
        <f t="shared" si="24"/>
        <v/>
      </c>
      <c r="C55" s="472">
        <f>IF(D11="","-",+C54+1)</f>
        <v>2050</v>
      </c>
      <c r="D55" s="485">
        <f>IF(F54+SUM(E$17:E54)=D$10,F54,D$10-SUM(E$17:E54))</f>
        <v>318067.69349234144</v>
      </c>
      <c r="E55" s="484">
        <f>IF(+I14&lt;F54,I14,D55)</f>
        <v>84763.256410256407</v>
      </c>
      <c r="F55" s="485">
        <f t="shared" si="19"/>
        <v>233304.43708208503</v>
      </c>
      <c r="G55" s="486">
        <f t="shared" si="25"/>
        <v>112610.25641025641</v>
      </c>
      <c r="H55" s="455">
        <f t="shared" si="26"/>
        <v>112610.25641025641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 ht="12.5">
      <c r="B56" s="160" t="str">
        <f t="shared" si="24"/>
        <v/>
      </c>
      <c r="C56" s="472">
        <f>IF(D11="","-",+C55+1)</f>
        <v>2051</v>
      </c>
      <c r="D56" s="485">
        <f>IF(F55+SUM(E$17:E55)=D$10,F55,D$10-SUM(E$17:E55))</f>
        <v>233304.43708208503</v>
      </c>
      <c r="E56" s="484">
        <f>IF(+I14&lt;F55,I14,D56)</f>
        <v>84763.256410256407</v>
      </c>
      <c r="F56" s="485">
        <f t="shared" si="19"/>
        <v>148541.18067182862</v>
      </c>
      <c r="G56" s="486">
        <f t="shared" si="25"/>
        <v>102493.25641025641</v>
      </c>
      <c r="H56" s="455">
        <f t="shared" si="26"/>
        <v>102493.25641025641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 ht="12.5">
      <c r="B57" s="160" t="str">
        <f t="shared" si="24"/>
        <v/>
      </c>
      <c r="C57" s="472">
        <f>IF(D11="","-",+C56+1)</f>
        <v>2052</v>
      </c>
      <c r="D57" s="485">
        <f>IF(F56+SUM(E$17:E56)=D$10,F56,D$10-SUM(E$17:E56))</f>
        <v>148541.18067182862</v>
      </c>
      <c r="E57" s="484">
        <f>IF(+I14&lt;F56,I14,D57)</f>
        <v>84763.256410256407</v>
      </c>
      <c r="F57" s="485">
        <f t="shared" si="19"/>
        <v>63777.924261572218</v>
      </c>
      <c r="G57" s="486">
        <f t="shared" si="25"/>
        <v>92375.256410256407</v>
      </c>
      <c r="H57" s="455">
        <f t="shared" si="26"/>
        <v>92375.256410256407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 ht="12.5">
      <c r="B58" s="160" t="str">
        <f t="shared" si="24"/>
        <v/>
      </c>
      <c r="C58" s="472">
        <f>IF(D11="","-",+C57+1)</f>
        <v>2053</v>
      </c>
      <c r="D58" s="485">
        <f>IF(F57+SUM(E$17:E57)=D$10,F57,D$10-SUM(E$17:E57))</f>
        <v>63777.924261572218</v>
      </c>
      <c r="E58" s="484">
        <f>IF(+I14&lt;F57,I14,D58)</f>
        <v>63777.924261572218</v>
      </c>
      <c r="F58" s="485">
        <f t="shared" si="19"/>
        <v>0</v>
      </c>
      <c r="G58" s="486">
        <f t="shared" si="25"/>
        <v>63777.924261572218</v>
      </c>
      <c r="H58" s="455">
        <f t="shared" si="26"/>
        <v>63777.924261572218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 ht="12.5">
      <c r="B59" s="160" t="str">
        <f t="shared" si="24"/>
        <v/>
      </c>
      <c r="C59" s="472">
        <f>IF(D11="","-",+C58+1)</f>
        <v>2054</v>
      </c>
      <c r="D59" s="485">
        <f>IF(F58+SUM(E$17:E58)=D$10,F58,D$10-SUM(E$17:E58))</f>
        <v>0</v>
      </c>
      <c r="E59" s="484">
        <f>IF(+I14&lt;F58,I14,D59)</f>
        <v>0</v>
      </c>
      <c r="F59" s="485">
        <f t="shared" si="19"/>
        <v>0</v>
      </c>
      <c r="G59" s="486">
        <f t="shared" si="25"/>
        <v>0</v>
      </c>
      <c r="H59" s="455">
        <f t="shared" si="26"/>
        <v>0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 ht="12.5">
      <c r="B60" s="160" t="str">
        <f t="shared" si="24"/>
        <v/>
      </c>
      <c r="C60" s="472">
        <f>IF(D11="","-",+C59+1)</f>
        <v>2055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19"/>
        <v>0</v>
      </c>
      <c r="G60" s="486">
        <f t="shared" si="25"/>
        <v>0</v>
      </c>
      <c r="H60" s="455">
        <f t="shared" si="26"/>
        <v>0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 ht="12.5">
      <c r="B61" s="160" t="str">
        <f t="shared" si="24"/>
        <v/>
      </c>
      <c r="C61" s="472">
        <f>IF(D11="","-",+C60+1)</f>
        <v>2056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19"/>
        <v>0</v>
      </c>
      <c r="G61" s="488">
        <f t="shared" si="25"/>
        <v>0</v>
      </c>
      <c r="H61" s="455">
        <f t="shared" si="26"/>
        <v>0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 ht="12.5">
      <c r="B62" s="160" t="str">
        <f t="shared" si="24"/>
        <v/>
      </c>
      <c r="C62" s="472">
        <f>IF(D11="","-",+C61+1)</f>
        <v>2057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9"/>
        <v>0</v>
      </c>
      <c r="G62" s="488">
        <f t="shared" si="25"/>
        <v>0</v>
      </c>
      <c r="H62" s="455">
        <f t="shared" si="26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 ht="12.5">
      <c r="B63" s="160" t="str">
        <f t="shared" si="24"/>
        <v/>
      </c>
      <c r="C63" s="472">
        <f>IF(D11="","-",+C62+1)</f>
        <v>2058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9"/>
        <v>0</v>
      </c>
      <c r="G63" s="488">
        <f t="shared" si="25"/>
        <v>0</v>
      </c>
      <c r="H63" s="455">
        <f t="shared" si="26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 ht="12.5">
      <c r="B64" s="160" t="str">
        <f t="shared" si="24"/>
        <v/>
      </c>
      <c r="C64" s="472">
        <f>IF(D11="","-",+C63+1)</f>
        <v>2059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8">
        <f t="shared" si="25"/>
        <v>0</v>
      </c>
      <c r="H64" s="455">
        <f t="shared" si="26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 ht="12.5">
      <c r="B65" s="160" t="str">
        <f t="shared" si="24"/>
        <v/>
      </c>
      <c r="C65" s="472">
        <f>IF(D11="","-",+C64+1)</f>
        <v>2060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8">
        <f t="shared" si="25"/>
        <v>0</v>
      </c>
      <c r="H65" s="455">
        <f t="shared" si="26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 ht="12.5">
      <c r="B66" s="160" t="str">
        <f t="shared" si="24"/>
        <v/>
      </c>
      <c r="C66" s="472">
        <f>IF(D11="","-",+C65+1)</f>
        <v>2061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8">
        <f t="shared" si="25"/>
        <v>0</v>
      </c>
      <c r="H66" s="455">
        <f t="shared" si="26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 ht="12.5">
      <c r="B67" s="160" t="str">
        <f t="shared" si="24"/>
        <v/>
      </c>
      <c r="C67" s="472">
        <f>IF(D11="","-",+C66+1)</f>
        <v>2062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8">
        <f t="shared" si="25"/>
        <v>0</v>
      </c>
      <c r="H67" s="455">
        <f t="shared" si="26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 ht="12.5">
      <c r="B68" s="160" t="str">
        <f t="shared" si="24"/>
        <v/>
      </c>
      <c r="C68" s="472">
        <f>IF(D11="","-",+C67+1)</f>
        <v>2063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8">
        <f t="shared" si="25"/>
        <v>0</v>
      </c>
      <c r="H68" s="455">
        <f t="shared" si="26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 ht="12.5">
      <c r="B69" s="160" t="str">
        <f t="shared" si="24"/>
        <v/>
      </c>
      <c r="C69" s="472">
        <f>IF(D11="","-",+C68+1)</f>
        <v>2064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8">
        <f t="shared" si="25"/>
        <v>0</v>
      </c>
      <c r="H69" s="455">
        <f t="shared" si="26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 ht="12.5">
      <c r="B70" s="160" t="str">
        <f t="shared" si="24"/>
        <v/>
      </c>
      <c r="C70" s="472">
        <f>IF(D11="","-",+C69+1)</f>
        <v>2065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8">
        <f t="shared" si="25"/>
        <v>0</v>
      </c>
      <c r="H70" s="455">
        <f t="shared" si="26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 ht="12.5">
      <c r="B71" s="160" t="str">
        <f t="shared" si="24"/>
        <v/>
      </c>
      <c r="C71" s="472">
        <f>IF(D11="","-",+C70+1)</f>
        <v>2066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8">
        <f t="shared" si="25"/>
        <v>0</v>
      </c>
      <c r="H71" s="455">
        <f t="shared" si="26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" thickBot="1">
      <c r="B72" s="160" t="str">
        <f t="shared" si="24"/>
        <v/>
      </c>
      <c r="C72" s="489">
        <f>IF(D11="","-",+C71+1)</f>
        <v>2067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2">
        <f t="shared" si="25"/>
        <v>0</v>
      </c>
      <c r="H72" s="435">
        <f t="shared" si="26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 ht="12.5">
      <c r="C73" s="346" t="s">
        <v>77</v>
      </c>
      <c r="D73" s="347"/>
      <c r="E73" s="347">
        <f>SUM(E17:E72)</f>
        <v>3305767.0000000009</v>
      </c>
      <c r="F73" s="347"/>
      <c r="G73" s="347">
        <f>SUM(G17:G72)</f>
        <v>11770135.494324571</v>
      </c>
      <c r="H73" s="347">
        <f>SUM(H17:H72)</f>
        <v>11770135.494324571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12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365431.30558139534</v>
      </c>
      <c r="N87" s="508">
        <f>IF(J92&lt;D11,0,VLOOKUP(J92,C17:O72,11))</f>
        <v>365431.30558139534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387439.54235522368</v>
      </c>
      <c r="N88" s="512">
        <f>IF(J92&lt;D11,0,VLOOKUP(J92,C99:P154,7))</f>
        <v>387439.54235522368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Canadian River - McAlester City 138 kV Line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22008.236773828336</v>
      </c>
      <c r="N89" s="517">
        <f>+N88-N87</f>
        <v>22008.236773828336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TP2009095-PSO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3305767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8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80628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470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2012</v>
      </c>
      <c r="D99" s="578">
        <f>IF(D93=C99,0,D92)</f>
        <v>0</v>
      </c>
      <c r="E99" s="579">
        <v>1616</v>
      </c>
      <c r="F99" s="580">
        <v>502209</v>
      </c>
      <c r="G99" s="581">
        <v>251209</v>
      </c>
      <c r="H99" s="582">
        <v>37753</v>
      </c>
      <c r="I99" s="583">
        <v>37753</v>
      </c>
      <c r="J99" s="478">
        <f t="shared" ref="J99:J130" si="27">+I99-H99</f>
        <v>0</v>
      </c>
      <c r="K99" s="574"/>
      <c r="L99" s="567">
        <f t="shared" ref="L99:L104" si="28">H99</f>
        <v>37753</v>
      </c>
      <c r="M99" s="575">
        <f t="shared" ref="M99:M104" si="29">IF(L99&lt;&gt;0,+H99-L99,0)</f>
        <v>0</v>
      </c>
      <c r="N99" s="567">
        <f t="shared" ref="N99:N104" si="30">I99</f>
        <v>37753</v>
      </c>
      <c r="O99" s="348">
        <f t="shared" ref="O99:O104" si="31">IF(N99&lt;&gt;0,+I99-N99,0)</f>
        <v>0</v>
      </c>
      <c r="P99" s="477">
        <f t="shared" ref="P99:P104" si="32">+O99-M99</f>
        <v>0</v>
      </c>
    </row>
    <row r="100" spans="1:16" ht="12.5">
      <c r="B100" s="160" t="str">
        <f t="shared" ref="B100:B131" si="33">IF(D100=F99,"","IU")</f>
        <v>IU</v>
      </c>
      <c r="C100" s="472">
        <f>IF(D93="","-",+C99+1)</f>
        <v>2013</v>
      </c>
      <c r="D100" s="584">
        <v>3240518</v>
      </c>
      <c r="E100" s="585">
        <v>62349</v>
      </c>
      <c r="F100" s="586">
        <v>3178169</v>
      </c>
      <c r="G100" s="586">
        <v>3209343.5</v>
      </c>
      <c r="H100" s="585">
        <v>524300.60020262119</v>
      </c>
      <c r="I100" s="587">
        <v>524300.60020262119</v>
      </c>
      <c r="J100" s="478">
        <v>0</v>
      </c>
      <c r="K100" s="574"/>
      <c r="L100" s="540">
        <f t="shared" si="28"/>
        <v>524300.60020262119</v>
      </c>
      <c r="M100" s="575">
        <f t="shared" si="29"/>
        <v>0</v>
      </c>
      <c r="N100" s="540">
        <f t="shared" si="30"/>
        <v>524300.60020262119</v>
      </c>
      <c r="O100" s="348">
        <f t="shared" si="31"/>
        <v>0</v>
      </c>
      <c r="P100" s="478">
        <f t="shared" si="32"/>
        <v>0</v>
      </c>
    </row>
    <row r="101" spans="1:16" ht="12.5">
      <c r="B101" s="160" t="str">
        <f t="shared" si="33"/>
        <v>IU</v>
      </c>
      <c r="C101" s="472">
        <f>IF(D93="","-",+C100+1)</f>
        <v>2014</v>
      </c>
      <c r="D101" s="584">
        <v>3241802.14</v>
      </c>
      <c r="E101" s="585">
        <v>63572</v>
      </c>
      <c r="F101" s="586">
        <v>3178230.14</v>
      </c>
      <c r="G101" s="586">
        <v>3210016.14</v>
      </c>
      <c r="H101" s="585">
        <v>514887.14751698606</v>
      </c>
      <c r="I101" s="587">
        <v>514887.14751698606</v>
      </c>
      <c r="J101" s="478">
        <v>0</v>
      </c>
      <c r="K101" s="574"/>
      <c r="L101" s="540">
        <f t="shared" si="28"/>
        <v>514887.14751698606</v>
      </c>
      <c r="M101" s="575">
        <f t="shared" si="29"/>
        <v>0</v>
      </c>
      <c r="N101" s="540">
        <f t="shared" si="30"/>
        <v>514887.14751698606</v>
      </c>
      <c r="O101" s="348">
        <f t="shared" si="31"/>
        <v>0</v>
      </c>
      <c r="P101" s="478">
        <f t="shared" si="32"/>
        <v>0</v>
      </c>
    </row>
    <row r="102" spans="1:16" ht="12.5">
      <c r="B102" s="160" t="str">
        <f t="shared" si="33"/>
        <v/>
      </c>
      <c r="C102" s="472">
        <f>IF(D93="","-",+C101+1)</f>
        <v>2015</v>
      </c>
      <c r="D102" s="584">
        <v>3178230.14</v>
      </c>
      <c r="E102" s="585">
        <v>63572</v>
      </c>
      <c r="F102" s="586">
        <v>3114658.14</v>
      </c>
      <c r="G102" s="586">
        <v>3146444.14</v>
      </c>
      <c r="H102" s="585">
        <v>492879.0042454137</v>
      </c>
      <c r="I102" s="587">
        <v>492879.0042454137</v>
      </c>
      <c r="J102" s="478">
        <f t="shared" si="27"/>
        <v>0</v>
      </c>
      <c r="K102" s="478"/>
      <c r="L102" s="540">
        <f t="shared" si="28"/>
        <v>492879.0042454137</v>
      </c>
      <c r="M102" s="575">
        <f t="shared" si="29"/>
        <v>0</v>
      </c>
      <c r="N102" s="540">
        <f t="shared" si="30"/>
        <v>492879.0042454137</v>
      </c>
      <c r="O102" s="348">
        <f t="shared" si="31"/>
        <v>0</v>
      </c>
      <c r="P102" s="478">
        <f t="shared" si="32"/>
        <v>0</v>
      </c>
    </row>
    <row r="103" spans="1:16" ht="12.5">
      <c r="B103" s="160" t="str">
        <f t="shared" si="33"/>
        <v/>
      </c>
      <c r="C103" s="472">
        <f>IF(D93="","-",+C102+1)</f>
        <v>2016</v>
      </c>
      <c r="D103" s="584">
        <v>3114658.14</v>
      </c>
      <c r="E103" s="585">
        <v>71865</v>
      </c>
      <c r="F103" s="586">
        <v>3042793.14</v>
      </c>
      <c r="G103" s="586">
        <v>3078725.64</v>
      </c>
      <c r="H103" s="585">
        <v>468761.221459263</v>
      </c>
      <c r="I103" s="587">
        <v>468761.221459263</v>
      </c>
      <c r="J103" s="478">
        <f t="shared" si="27"/>
        <v>0</v>
      </c>
      <c r="K103" s="478"/>
      <c r="L103" s="540">
        <f t="shared" si="28"/>
        <v>468761.221459263</v>
      </c>
      <c r="M103" s="575">
        <f t="shared" si="29"/>
        <v>0</v>
      </c>
      <c r="N103" s="540">
        <f t="shared" si="30"/>
        <v>468761.221459263</v>
      </c>
      <c r="O103" s="348">
        <f t="shared" si="31"/>
        <v>0</v>
      </c>
      <c r="P103" s="478">
        <f t="shared" si="32"/>
        <v>0</v>
      </c>
    </row>
    <row r="104" spans="1:16" ht="12.5">
      <c r="B104" s="160" t="str">
        <f t="shared" si="33"/>
        <v/>
      </c>
      <c r="C104" s="472">
        <f>IF(D93="","-",+C103+1)</f>
        <v>2017</v>
      </c>
      <c r="D104" s="584">
        <v>3042793.14</v>
      </c>
      <c r="E104" s="585">
        <v>71865</v>
      </c>
      <c r="F104" s="586">
        <v>2970928.14</v>
      </c>
      <c r="G104" s="586">
        <v>3006860.64</v>
      </c>
      <c r="H104" s="585">
        <v>453292.85398579738</v>
      </c>
      <c r="I104" s="587">
        <v>453292.85398579738</v>
      </c>
      <c r="J104" s="478">
        <f t="shared" si="27"/>
        <v>0</v>
      </c>
      <c r="K104" s="478"/>
      <c r="L104" s="540">
        <f t="shared" si="28"/>
        <v>453292.85398579738</v>
      </c>
      <c r="M104" s="575">
        <f t="shared" si="29"/>
        <v>0</v>
      </c>
      <c r="N104" s="540">
        <f t="shared" si="30"/>
        <v>453292.85398579738</v>
      </c>
      <c r="O104" s="348">
        <f t="shared" si="31"/>
        <v>0</v>
      </c>
      <c r="P104" s="478">
        <f t="shared" si="32"/>
        <v>0</v>
      </c>
    </row>
    <row r="105" spans="1:16" ht="12.5">
      <c r="B105" s="160" t="str">
        <f t="shared" si="33"/>
        <v/>
      </c>
      <c r="C105" s="472">
        <f>IF(D93="","-",+C104+1)</f>
        <v>2018</v>
      </c>
      <c r="D105" s="584">
        <v>2970928.14</v>
      </c>
      <c r="E105" s="585">
        <v>76878</v>
      </c>
      <c r="F105" s="586">
        <v>2894050.14</v>
      </c>
      <c r="G105" s="586">
        <v>2932489.14</v>
      </c>
      <c r="H105" s="585">
        <v>378148.93401168124</v>
      </c>
      <c r="I105" s="587">
        <v>378148.93401168124</v>
      </c>
      <c r="J105" s="478">
        <f t="shared" si="27"/>
        <v>0</v>
      </c>
      <c r="K105" s="478"/>
      <c r="L105" s="540">
        <f t="shared" ref="L105" si="34">H105</f>
        <v>378148.93401168124</v>
      </c>
      <c r="M105" s="575">
        <f t="shared" ref="M105" si="35">IF(L105&lt;&gt;0,+H105-L105,0)</f>
        <v>0</v>
      </c>
      <c r="N105" s="540">
        <f t="shared" ref="N105" si="36">I105</f>
        <v>378148.93401168124</v>
      </c>
      <c r="O105" s="348">
        <f t="shared" ref="O105" si="37">IF(N105&lt;&gt;0,+I105-N105,0)</f>
        <v>0</v>
      </c>
      <c r="P105" s="478">
        <f t="shared" ref="P105" si="38">+O105-M105</f>
        <v>0</v>
      </c>
    </row>
    <row r="106" spans="1:16" ht="12.5">
      <c r="B106" s="160" t="str">
        <f t="shared" si="33"/>
        <v/>
      </c>
      <c r="C106" s="472">
        <f>IF(D93="","-",+C105+1)</f>
        <v>2019</v>
      </c>
      <c r="D106" s="584">
        <v>2894050.14</v>
      </c>
      <c r="E106" s="585">
        <v>80628</v>
      </c>
      <c r="F106" s="586">
        <v>2813422.14</v>
      </c>
      <c r="G106" s="586">
        <v>2853736.14</v>
      </c>
      <c r="H106" s="585">
        <v>374888.22276719729</v>
      </c>
      <c r="I106" s="587">
        <v>374888.22276719729</v>
      </c>
      <c r="J106" s="478">
        <f t="shared" si="27"/>
        <v>0</v>
      </c>
      <c r="K106" s="478"/>
      <c r="L106" s="540">
        <f t="shared" ref="L106:L107" si="39">H106</f>
        <v>374888.22276719729</v>
      </c>
      <c r="M106" s="575">
        <f t="shared" ref="M106:M107" si="40">IF(L106&lt;&gt;0,+H106-L106,0)</f>
        <v>0</v>
      </c>
      <c r="N106" s="540">
        <f t="shared" ref="N106:N107" si="41">I106</f>
        <v>374888.22276719729</v>
      </c>
      <c r="O106" s="478">
        <f t="shared" ref="O106:O130" si="42">IF(N106&lt;&gt;0,+I106-N106,0)</f>
        <v>0</v>
      </c>
      <c r="P106" s="478">
        <f t="shared" ref="P106:P130" si="43">+O106-M106</f>
        <v>0</v>
      </c>
    </row>
    <row r="107" spans="1:16" ht="12.5">
      <c r="B107" s="160" t="str">
        <f t="shared" si="33"/>
        <v/>
      </c>
      <c r="C107" s="472">
        <f>IF(D93="","-",+C106+1)</f>
        <v>2020</v>
      </c>
      <c r="D107" s="584">
        <v>2813422.14</v>
      </c>
      <c r="E107" s="585">
        <v>76878</v>
      </c>
      <c r="F107" s="586">
        <v>2736544.14</v>
      </c>
      <c r="G107" s="586">
        <v>2774983.14</v>
      </c>
      <c r="H107" s="585">
        <v>396825.92685492127</v>
      </c>
      <c r="I107" s="587">
        <v>396825.92685492127</v>
      </c>
      <c r="J107" s="478">
        <f t="shared" si="27"/>
        <v>0</v>
      </c>
      <c r="K107" s="478"/>
      <c r="L107" s="540">
        <f t="shared" si="39"/>
        <v>396825.92685492127</v>
      </c>
      <c r="M107" s="575">
        <f t="shared" si="40"/>
        <v>0</v>
      </c>
      <c r="N107" s="540">
        <f t="shared" si="41"/>
        <v>396825.92685492127</v>
      </c>
      <c r="O107" s="478">
        <f t="shared" si="42"/>
        <v>0</v>
      </c>
      <c r="P107" s="478">
        <f t="shared" si="43"/>
        <v>0</v>
      </c>
    </row>
    <row r="108" spans="1:16" ht="12.5">
      <c r="B108" s="160" t="str">
        <f t="shared" si="33"/>
        <v>IU</v>
      </c>
      <c r="C108" s="472">
        <f>IF(D93="","-",+C107+1)</f>
        <v>2021</v>
      </c>
      <c r="D108" s="346">
        <f>IF(F107+SUM(E$99:E107)=D$92,F107,D$92-SUM(E$99:E107))</f>
        <v>2736544</v>
      </c>
      <c r="E108" s="486">
        <f t="shared" ref="E108:E154" si="44">IF(+J$96&lt;F107,J$96,D108)</f>
        <v>80628</v>
      </c>
      <c r="F108" s="485">
        <f t="shared" ref="F108:F154" si="45">+D108-E108</f>
        <v>2655916</v>
      </c>
      <c r="G108" s="485">
        <f t="shared" ref="G108:G154" si="46">+(F108+D108)/2</f>
        <v>2696230</v>
      </c>
      <c r="H108" s="488">
        <f t="shared" ref="H108:H130" si="47">+J$94*G108+E108</f>
        <v>387439.54235522368</v>
      </c>
      <c r="I108" s="542">
        <f t="shared" ref="I108:I130" si="48">+J$95*G108+E108</f>
        <v>387439.54235522368</v>
      </c>
      <c r="J108" s="478">
        <f t="shared" si="27"/>
        <v>0</v>
      </c>
      <c r="K108" s="478"/>
      <c r="L108" s="487"/>
      <c r="M108" s="478">
        <f t="shared" ref="M108:M130" si="49">IF(L108&lt;&gt;0,+H108-L108,0)</f>
        <v>0</v>
      </c>
      <c r="N108" s="487"/>
      <c r="O108" s="478">
        <f t="shared" si="42"/>
        <v>0</v>
      </c>
      <c r="P108" s="478">
        <f t="shared" si="43"/>
        <v>0</v>
      </c>
    </row>
    <row r="109" spans="1:16" ht="12.5">
      <c r="B109" s="160" t="str">
        <f t="shared" si="33"/>
        <v/>
      </c>
      <c r="C109" s="472">
        <f>IF(D93="","-",+C108+1)</f>
        <v>2022</v>
      </c>
      <c r="D109" s="346">
        <f>IF(F108+SUM(E$99:E108)=D$92,F108,D$92-SUM(E$99:E108))</f>
        <v>2655916</v>
      </c>
      <c r="E109" s="486">
        <f t="shared" si="44"/>
        <v>80628</v>
      </c>
      <c r="F109" s="485">
        <f t="shared" si="45"/>
        <v>2575288</v>
      </c>
      <c r="G109" s="485">
        <f t="shared" si="46"/>
        <v>2615602</v>
      </c>
      <c r="H109" s="488">
        <f t="shared" si="47"/>
        <v>378264.65703868278</v>
      </c>
      <c r="I109" s="542">
        <f t="shared" si="48"/>
        <v>378264.65703868278</v>
      </c>
      <c r="J109" s="478">
        <f t="shared" si="27"/>
        <v>0</v>
      </c>
      <c r="K109" s="478"/>
      <c r="L109" s="487"/>
      <c r="M109" s="478">
        <f t="shared" si="49"/>
        <v>0</v>
      </c>
      <c r="N109" s="487"/>
      <c r="O109" s="478">
        <f t="shared" si="42"/>
        <v>0</v>
      </c>
      <c r="P109" s="478">
        <f t="shared" si="43"/>
        <v>0</v>
      </c>
    </row>
    <row r="110" spans="1:16" ht="12.5">
      <c r="B110" s="160" t="str">
        <f t="shared" si="33"/>
        <v/>
      </c>
      <c r="C110" s="472">
        <f>IF(D93="","-",+C109+1)</f>
        <v>2023</v>
      </c>
      <c r="D110" s="346">
        <f>IF(F109+SUM(E$99:E109)=D$92,F109,D$92-SUM(E$99:E109))</f>
        <v>2575288</v>
      </c>
      <c r="E110" s="486">
        <f t="shared" si="44"/>
        <v>80628</v>
      </c>
      <c r="F110" s="485">
        <f t="shared" si="45"/>
        <v>2494660</v>
      </c>
      <c r="G110" s="485">
        <f t="shared" si="46"/>
        <v>2534974</v>
      </c>
      <c r="H110" s="488">
        <f t="shared" si="47"/>
        <v>369089.77172214194</v>
      </c>
      <c r="I110" s="542">
        <f t="shared" si="48"/>
        <v>369089.77172214194</v>
      </c>
      <c r="J110" s="478">
        <f t="shared" si="27"/>
        <v>0</v>
      </c>
      <c r="K110" s="478"/>
      <c r="L110" s="487"/>
      <c r="M110" s="478">
        <f t="shared" si="49"/>
        <v>0</v>
      </c>
      <c r="N110" s="487"/>
      <c r="O110" s="478">
        <f t="shared" si="42"/>
        <v>0</v>
      </c>
      <c r="P110" s="478">
        <f t="shared" si="43"/>
        <v>0</v>
      </c>
    </row>
    <row r="111" spans="1:16" ht="12.5">
      <c r="B111" s="160" t="str">
        <f t="shared" si="33"/>
        <v/>
      </c>
      <c r="C111" s="472">
        <f>IF(D93="","-",+C110+1)</f>
        <v>2024</v>
      </c>
      <c r="D111" s="346">
        <f>IF(F110+SUM(E$99:E110)=D$92,F110,D$92-SUM(E$99:E110))</f>
        <v>2494660</v>
      </c>
      <c r="E111" s="486">
        <f t="shared" si="44"/>
        <v>80628</v>
      </c>
      <c r="F111" s="485">
        <f t="shared" si="45"/>
        <v>2414032</v>
      </c>
      <c r="G111" s="485">
        <f t="shared" si="46"/>
        <v>2454346</v>
      </c>
      <c r="H111" s="488">
        <f t="shared" si="47"/>
        <v>359914.88640560105</v>
      </c>
      <c r="I111" s="542">
        <f t="shared" si="48"/>
        <v>359914.88640560105</v>
      </c>
      <c r="J111" s="478">
        <f t="shared" si="27"/>
        <v>0</v>
      </c>
      <c r="K111" s="478"/>
      <c r="L111" s="487"/>
      <c r="M111" s="478">
        <f t="shared" si="49"/>
        <v>0</v>
      </c>
      <c r="N111" s="487"/>
      <c r="O111" s="478">
        <f t="shared" si="42"/>
        <v>0</v>
      </c>
      <c r="P111" s="478">
        <f t="shared" si="43"/>
        <v>0</v>
      </c>
    </row>
    <row r="112" spans="1:16" ht="12.5">
      <c r="B112" s="160" t="str">
        <f t="shared" si="33"/>
        <v/>
      </c>
      <c r="C112" s="472">
        <f>IF(D93="","-",+C111+1)</f>
        <v>2025</v>
      </c>
      <c r="D112" s="346">
        <f>IF(F111+SUM(E$99:E111)=D$92,F111,D$92-SUM(E$99:E111))</f>
        <v>2414032</v>
      </c>
      <c r="E112" s="486">
        <f t="shared" si="44"/>
        <v>80628</v>
      </c>
      <c r="F112" s="485">
        <f t="shared" si="45"/>
        <v>2333404</v>
      </c>
      <c r="G112" s="485">
        <f t="shared" si="46"/>
        <v>2373718</v>
      </c>
      <c r="H112" s="488">
        <f t="shared" si="47"/>
        <v>350740.00108906021</v>
      </c>
      <c r="I112" s="542">
        <f t="shared" si="48"/>
        <v>350740.00108906021</v>
      </c>
      <c r="J112" s="478">
        <f t="shared" si="27"/>
        <v>0</v>
      </c>
      <c r="K112" s="478"/>
      <c r="L112" s="487"/>
      <c r="M112" s="478">
        <f t="shared" si="49"/>
        <v>0</v>
      </c>
      <c r="N112" s="487"/>
      <c r="O112" s="478">
        <f t="shared" si="42"/>
        <v>0</v>
      </c>
      <c r="P112" s="478">
        <f t="shared" si="43"/>
        <v>0</v>
      </c>
    </row>
    <row r="113" spans="2:16" ht="12.5">
      <c r="B113" s="160" t="str">
        <f t="shared" si="33"/>
        <v/>
      </c>
      <c r="C113" s="472">
        <f>IF(D93="","-",+C112+1)</f>
        <v>2026</v>
      </c>
      <c r="D113" s="346">
        <f>IF(F112+SUM(E$99:E112)=D$92,F112,D$92-SUM(E$99:E112))</f>
        <v>2333404</v>
      </c>
      <c r="E113" s="486">
        <f t="shared" si="44"/>
        <v>80628</v>
      </c>
      <c r="F113" s="485">
        <f t="shared" si="45"/>
        <v>2252776</v>
      </c>
      <c r="G113" s="485">
        <f t="shared" si="46"/>
        <v>2293090</v>
      </c>
      <c r="H113" s="488">
        <f t="shared" si="47"/>
        <v>341565.11577251938</v>
      </c>
      <c r="I113" s="542">
        <f t="shared" si="48"/>
        <v>341565.11577251938</v>
      </c>
      <c r="J113" s="478">
        <f t="shared" si="27"/>
        <v>0</v>
      </c>
      <c r="K113" s="478"/>
      <c r="L113" s="487"/>
      <c r="M113" s="478">
        <f t="shared" si="49"/>
        <v>0</v>
      </c>
      <c r="N113" s="487"/>
      <c r="O113" s="478">
        <f t="shared" si="42"/>
        <v>0</v>
      </c>
      <c r="P113" s="478">
        <f t="shared" si="43"/>
        <v>0</v>
      </c>
    </row>
    <row r="114" spans="2:16" ht="12.5">
      <c r="B114" s="160" t="str">
        <f t="shared" si="33"/>
        <v/>
      </c>
      <c r="C114" s="472">
        <f>IF(D93="","-",+C113+1)</f>
        <v>2027</v>
      </c>
      <c r="D114" s="346">
        <f>IF(F113+SUM(E$99:E113)=D$92,F113,D$92-SUM(E$99:E113))</f>
        <v>2252776</v>
      </c>
      <c r="E114" s="486">
        <f t="shared" si="44"/>
        <v>80628</v>
      </c>
      <c r="F114" s="485">
        <f t="shared" si="45"/>
        <v>2172148</v>
      </c>
      <c r="G114" s="485">
        <f t="shared" si="46"/>
        <v>2212462</v>
      </c>
      <c r="H114" s="488">
        <f t="shared" si="47"/>
        <v>332390.23045597848</v>
      </c>
      <c r="I114" s="542">
        <f t="shared" si="48"/>
        <v>332390.23045597848</v>
      </c>
      <c r="J114" s="478">
        <f t="shared" si="27"/>
        <v>0</v>
      </c>
      <c r="K114" s="478"/>
      <c r="L114" s="487"/>
      <c r="M114" s="478">
        <f t="shared" si="49"/>
        <v>0</v>
      </c>
      <c r="N114" s="487"/>
      <c r="O114" s="478">
        <f t="shared" si="42"/>
        <v>0</v>
      </c>
      <c r="P114" s="478">
        <f t="shared" si="43"/>
        <v>0</v>
      </c>
    </row>
    <row r="115" spans="2:16" ht="12.5">
      <c r="B115" s="160" t="str">
        <f t="shared" si="33"/>
        <v/>
      </c>
      <c r="C115" s="472">
        <f>IF(D93="","-",+C114+1)</f>
        <v>2028</v>
      </c>
      <c r="D115" s="346">
        <f>IF(F114+SUM(E$99:E114)=D$92,F114,D$92-SUM(E$99:E114))</f>
        <v>2172148</v>
      </c>
      <c r="E115" s="486">
        <f t="shared" si="44"/>
        <v>80628</v>
      </c>
      <c r="F115" s="485">
        <f t="shared" si="45"/>
        <v>2091520</v>
      </c>
      <c r="G115" s="485">
        <f t="shared" si="46"/>
        <v>2131834</v>
      </c>
      <c r="H115" s="488">
        <f t="shared" si="47"/>
        <v>323215.34513943759</v>
      </c>
      <c r="I115" s="542">
        <f t="shared" si="48"/>
        <v>323215.34513943759</v>
      </c>
      <c r="J115" s="478">
        <f t="shared" si="27"/>
        <v>0</v>
      </c>
      <c r="K115" s="478"/>
      <c r="L115" s="487"/>
      <c r="M115" s="478">
        <f t="shared" si="49"/>
        <v>0</v>
      </c>
      <c r="N115" s="487"/>
      <c r="O115" s="478">
        <f t="shared" si="42"/>
        <v>0</v>
      </c>
      <c r="P115" s="478">
        <f t="shared" si="43"/>
        <v>0</v>
      </c>
    </row>
    <row r="116" spans="2:16" ht="12.5">
      <c r="B116" s="160" t="str">
        <f t="shared" si="33"/>
        <v/>
      </c>
      <c r="C116" s="472">
        <f>IF(D93="","-",+C115+1)</f>
        <v>2029</v>
      </c>
      <c r="D116" s="346">
        <f>IF(F115+SUM(E$99:E115)=D$92,F115,D$92-SUM(E$99:E115))</f>
        <v>2091520</v>
      </c>
      <c r="E116" s="486">
        <f t="shared" si="44"/>
        <v>80628</v>
      </c>
      <c r="F116" s="485">
        <f t="shared" si="45"/>
        <v>2010892</v>
      </c>
      <c r="G116" s="485">
        <f t="shared" si="46"/>
        <v>2051206</v>
      </c>
      <c r="H116" s="488">
        <f t="shared" si="47"/>
        <v>314040.45982289675</v>
      </c>
      <c r="I116" s="542">
        <f t="shared" si="48"/>
        <v>314040.45982289675</v>
      </c>
      <c r="J116" s="478">
        <f t="shared" si="27"/>
        <v>0</v>
      </c>
      <c r="K116" s="478"/>
      <c r="L116" s="487"/>
      <c r="M116" s="478">
        <f t="shared" si="49"/>
        <v>0</v>
      </c>
      <c r="N116" s="487"/>
      <c r="O116" s="478">
        <f t="shared" si="42"/>
        <v>0</v>
      </c>
      <c r="P116" s="478">
        <f t="shared" si="43"/>
        <v>0</v>
      </c>
    </row>
    <row r="117" spans="2:16" ht="12.5">
      <c r="B117" s="160" t="str">
        <f t="shared" si="33"/>
        <v/>
      </c>
      <c r="C117" s="472">
        <f>IF(D93="","-",+C116+1)</f>
        <v>2030</v>
      </c>
      <c r="D117" s="346">
        <f>IF(F116+SUM(E$99:E116)=D$92,F116,D$92-SUM(E$99:E116))</f>
        <v>2010892</v>
      </c>
      <c r="E117" s="486">
        <f t="shared" si="44"/>
        <v>80628</v>
      </c>
      <c r="F117" s="485">
        <f t="shared" si="45"/>
        <v>1930264</v>
      </c>
      <c r="G117" s="485">
        <f t="shared" si="46"/>
        <v>1970578</v>
      </c>
      <c r="H117" s="488">
        <f t="shared" si="47"/>
        <v>304865.57450635592</v>
      </c>
      <c r="I117" s="542">
        <f t="shared" si="48"/>
        <v>304865.57450635592</v>
      </c>
      <c r="J117" s="478">
        <f t="shared" si="27"/>
        <v>0</v>
      </c>
      <c r="K117" s="478"/>
      <c r="L117" s="487"/>
      <c r="M117" s="478">
        <f t="shared" si="49"/>
        <v>0</v>
      </c>
      <c r="N117" s="487"/>
      <c r="O117" s="478">
        <f t="shared" si="42"/>
        <v>0</v>
      </c>
      <c r="P117" s="478">
        <f t="shared" si="43"/>
        <v>0</v>
      </c>
    </row>
    <row r="118" spans="2:16" ht="12.5">
      <c r="B118" s="160" t="str">
        <f t="shared" si="33"/>
        <v/>
      </c>
      <c r="C118" s="472">
        <f>IF(D93="","-",+C117+1)</f>
        <v>2031</v>
      </c>
      <c r="D118" s="346">
        <f>IF(F117+SUM(E$99:E117)=D$92,F117,D$92-SUM(E$99:E117))</f>
        <v>1930264</v>
      </c>
      <c r="E118" s="486">
        <f t="shared" si="44"/>
        <v>80628</v>
      </c>
      <c r="F118" s="485">
        <f t="shared" si="45"/>
        <v>1849636</v>
      </c>
      <c r="G118" s="485">
        <f t="shared" si="46"/>
        <v>1889950</v>
      </c>
      <c r="H118" s="488">
        <f t="shared" si="47"/>
        <v>295690.68918981502</v>
      </c>
      <c r="I118" s="542">
        <f t="shared" si="48"/>
        <v>295690.68918981502</v>
      </c>
      <c r="J118" s="478">
        <f t="shared" si="27"/>
        <v>0</v>
      </c>
      <c r="K118" s="478"/>
      <c r="L118" s="487"/>
      <c r="M118" s="478">
        <f t="shared" si="49"/>
        <v>0</v>
      </c>
      <c r="N118" s="487"/>
      <c r="O118" s="478">
        <f t="shared" si="42"/>
        <v>0</v>
      </c>
      <c r="P118" s="478">
        <f t="shared" si="43"/>
        <v>0</v>
      </c>
    </row>
    <row r="119" spans="2:16" ht="12.5">
      <c r="B119" s="160" t="str">
        <f t="shared" si="33"/>
        <v/>
      </c>
      <c r="C119" s="472">
        <f>IF(D93="","-",+C118+1)</f>
        <v>2032</v>
      </c>
      <c r="D119" s="346">
        <f>IF(F118+SUM(E$99:E118)=D$92,F118,D$92-SUM(E$99:E118))</f>
        <v>1849636</v>
      </c>
      <c r="E119" s="486">
        <f t="shared" si="44"/>
        <v>80628</v>
      </c>
      <c r="F119" s="485">
        <f t="shared" si="45"/>
        <v>1769008</v>
      </c>
      <c r="G119" s="485">
        <f t="shared" si="46"/>
        <v>1809322</v>
      </c>
      <c r="H119" s="488">
        <f t="shared" si="47"/>
        <v>286515.80387327413</v>
      </c>
      <c r="I119" s="542">
        <f t="shared" si="48"/>
        <v>286515.80387327413</v>
      </c>
      <c r="J119" s="478">
        <f t="shared" si="27"/>
        <v>0</v>
      </c>
      <c r="K119" s="478"/>
      <c r="L119" s="487"/>
      <c r="M119" s="478">
        <f t="shared" si="49"/>
        <v>0</v>
      </c>
      <c r="N119" s="487"/>
      <c r="O119" s="478">
        <f t="shared" si="42"/>
        <v>0</v>
      </c>
      <c r="P119" s="478">
        <f t="shared" si="43"/>
        <v>0</v>
      </c>
    </row>
    <row r="120" spans="2:16" ht="12.5">
      <c r="B120" s="160" t="str">
        <f t="shared" si="33"/>
        <v/>
      </c>
      <c r="C120" s="472">
        <f>IF(D93="","-",+C119+1)</f>
        <v>2033</v>
      </c>
      <c r="D120" s="346">
        <f>IF(F119+SUM(E$99:E119)=D$92,F119,D$92-SUM(E$99:E119))</f>
        <v>1769008</v>
      </c>
      <c r="E120" s="486">
        <f t="shared" si="44"/>
        <v>80628</v>
      </c>
      <c r="F120" s="485">
        <f t="shared" si="45"/>
        <v>1688380</v>
      </c>
      <c r="G120" s="485">
        <f t="shared" si="46"/>
        <v>1728694</v>
      </c>
      <c r="H120" s="488">
        <f t="shared" si="47"/>
        <v>277340.91855673329</v>
      </c>
      <c r="I120" s="542">
        <f t="shared" si="48"/>
        <v>277340.91855673329</v>
      </c>
      <c r="J120" s="478">
        <f t="shared" si="27"/>
        <v>0</v>
      </c>
      <c r="K120" s="478"/>
      <c r="L120" s="487"/>
      <c r="M120" s="478">
        <f t="shared" si="49"/>
        <v>0</v>
      </c>
      <c r="N120" s="487"/>
      <c r="O120" s="478">
        <f t="shared" si="42"/>
        <v>0</v>
      </c>
      <c r="P120" s="478">
        <f t="shared" si="43"/>
        <v>0</v>
      </c>
    </row>
    <row r="121" spans="2:16" ht="12.5">
      <c r="B121" s="160" t="str">
        <f t="shared" si="33"/>
        <v/>
      </c>
      <c r="C121" s="472">
        <f>IF(D93="","-",+C120+1)</f>
        <v>2034</v>
      </c>
      <c r="D121" s="346">
        <f>IF(F120+SUM(E$99:E120)=D$92,F120,D$92-SUM(E$99:E120))</f>
        <v>1688380</v>
      </c>
      <c r="E121" s="486">
        <f t="shared" si="44"/>
        <v>80628</v>
      </c>
      <c r="F121" s="485">
        <f t="shared" si="45"/>
        <v>1607752</v>
      </c>
      <c r="G121" s="485">
        <f t="shared" si="46"/>
        <v>1648066</v>
      </c>
      <c r="H121" s="488">
        <f t="shared" si="47"/>
        <v>268166.03324019245</v>
      </c>
      <c r="I121" s="542">
        <f t="shared" si="48"/>
        <v>268166.03324019245</v>
      </c>
      <c r="J121" s="478">
        <f t="shared" si="27"/>
        <v>0</v>
      </c>
      <c r="K121" s="478"/>
      <c r="L121" s="487"/>
      <c r="M121" s="478">
        <f t="shared" si="49"/>
        <v>0</v>
      </c>
      <c r="N121" s="487"/>
      <c r="O121" s="478">
        <f t="shared" si="42"/>
        <v>0</v>
      </c>
      <c r="P121" s="478">
        <f t="shared" si="43"/>
        <v>0</v>
      </c>
    </row>
    <row r="122" spans="2:16" ht="12.5">
      <c r="B122" s="160" t="str">
        <f t="shared" si="33"/>
        <v/>
      </c>
      <c r="C122" s="472">
        <f>IF(D93="","-",+C121+1)</f>
        <v>2035</v>
      </c>
      <c r="D122" s="346">
        <f>IF(F121+SUM(E$99:E121)=D$92,F121,D$92-SUM(E$99:E121))</f>
        <v>1607752</v>
      </c>
      <c r="E122" s="486">
        <f t="shared" si="44"/>
        <v>80628</v>
      </c>
      <c r="F122" s="485">
        <f t="shared" si="45"/>
        <v>1527124</v>
      </c>
      <c r="G122" s="485">
        <f t="shared" si="46"/>
        <v>1567438</v>
      </c>
      <c r="H122" s="488">
        <f t="shared" si="47"/>
        <v>258991.14792365156</v>
      </c>
      <c r="I122" s="542">
        <f t="shared" si="48"/>
        <v>258991.14792365156</v>
      </c>
      <c r="J122" s="478">
        <f t="shared" si="27"/>
        <v>0</v>
      </c>
      <c r="K122" s="478"/>
      <c r="L122" s="487"/>
      <c r="M122" s="478">
        <f t="shared" si="49"/>
        <v>0</v>
      </c>
      <c r="N122" s="487"/>
      <c r="O122" s="478">
        <f t="shared" si="42"/>
        <v>0</v>
      </c>
      <c r="P122" s="478">
        <f t="shared" si="43"/>
        <v>0</v>
      </c>
    </row>
    <row r="123" spans="2:16" ht="12.5">
      <c r="B123" s="160" t="str">
        <f t="shared" si="33"/>
        <v/>
      </c>
      <c r="C123" s="472">
        <f>IF(D93="","-",+C122+1)</f>
        <v>2036</v>
      </c>
      <c r="D123" s="346">
        <f>IF(F122+SUM(E$99:E122)=D$92,F122,D$92-SUM(E$99:E122))</f>
        <v>1527124</v>
      </c>
      <c r="E123" s="486">
        <f t="shared" si="44"/>
        <v>80628</v>
      </c>
      <c r="F123" s="485">
        <f t="shared" si="45"/>
        <v>1446496</v>
      </c>
      <c r="G123" s="485">
        <f t="shared" si="46"/>
        <v>1486810</v>
      </c>
      <c r="H123" s="488">
        <f t="shared" si="47"/>
        <v>249816.26260711069</v>
      </c>
      <c r="I123" s="542">
        <f t="shared" si="48"/>
        <v>249816.26260711069</v>
      </c>
      <c r="J123" s="478">
        <f t="shared" si="27"/>
        <v>0</v>
      </c>
      <c r="K123" s="478"/>
      <c r="L123" s="487"/>
      <c r="M123" s="478">
        <f t="shared" si="49"/>
        <v>0</v>
      </c>
      <c r="N123" s="487"/>
      <c r="O123" s="478">
        <f t="shared" si="42"/>
        <v>0</v>
      </c>
      <c r="P123" s="478">
        <f t="shared" si="43"/>
        <v>0</v>
      </c>
    </row>
    <row r="124" spans="2:16" ht="12.5">
      <c r="B124" s="160" t="str">
        <f t="shared" si="33"/>
        <v/>
      </c>
      <c r="C124" s="472">
        <f>IF(D93="","-",+C123+1)</f>
        <v>2037</v>
      </c>
      <c r="D124" s="346">
        <f>IF(F123+SUM(E$99:E123)=D$92,F123,D$92-SUM(E$99:E123))</f>
        <v>1446496</v>
      </c>
      <c r="E124" s="486">
        <f t="shared" si="44"/>
        <v>80628</v>
      </c>
      <c r="F124" s="485">
        <f t="shared" si="45"/>
        <v>1365868</v>
      </c>
      <c r="G124" s="485">
        <f t="shared" si="46"/>
        <v>1406182</v>
      </c>
      <c r="H124" s="488">
        <f t="shared" si="47"/>
        <v>240641.37729056983</v>
      </c>
      <c r="I124" s="542">
        <f t="shared" si="48"/>
        <v>240641.37729056983</v>
      </c>
      <c r="J124" s="478">
        <f t="shared" si="27"/>
        <v>0</v>
      </c>
      <c r="K124" s="478"/>
      <c r="L124" s="487"/>
      <c r="M124" s="478">
        <f t="shared" si="49"/>
        <v>0</v>
      </c>
      <c r="N124" s="487"/>
      <c r="O124" s="478">
        <f t="shared" si="42"/>
        <v>0</v>
      </c>
      <c r="P124" s="478">
        <f t="shared" si="43"/>
        <v>0</v>
      </c>
    </row>
    <row r="125" spans="2:16" ht="12.5">
      <c r="B125" s="160" t="str">
        <f t="shared" si="33"/>
        <v/>
      </c>
      <c r="C125" s="472">
        <f>IF(D93="","-",+C124+1)</f>
        <v>2038</v>
      </c>
      <c r="D125" s="346">
        <f>IF(F124+SUM(E$99:E124)=D$92,F124,D$92-SUM(E$99:E124))</f>
        <v>1365868</v>
      </c>
      <c r="E125" s="486">
        <f t="shared" si="44"/>
        <v>80628</v>
      </c>
      <c r="F125" s="485">
        <f t="shared" si="45"/>
        <v>1285240</v>
      </c>
      <c r="G125" s="485">
        <f t="shared" si="46"/>
        <v>1325554</v>
      </c>
      <c r="H125" s="488">
        <f t="shared" si="47"/>
        <v>231466.49197402896</v>
      </c>
      <c r="I125" s="542">
        <f t="shared" si="48"/>
        <v>231466.49197402896</v>
      </c>
      <c r="J125" s="478">
        <f t="shared" si="27"/>
        <v>0</v>
      </c>
      <c r="K125" s="478"/>
      <c r="L125" s="487"/>
      <c r="M125" s="478">
        <f t="shared" si="49"/>
        <v>0</v>
      </c>
      <c r="N125" s="487"/>
      <c r="O125" s="478">
        <f t="shared" si="42"/>
        <v>0</v>
      </c>
      <c r="P125" s="478">
        <f t="shared" si="43"/>
        <v>0</v>
      </c>
    </row>
    <row r="126" spans="2:16" ht="12.5">
      <c r="B126" s="160" t="str">
        <f t="shared" si="33"/>
        <v/>
      </c>
      <c r="C126" s="472">
        <f>IF(D93="","-",+C125+1)</f>
        <v>2039</v>
      </c>
      <c r="D126" s="346">
        <f>IF(F125+SUM(E$99:E125)=D$92,F125,D$92-SUM(E$99:E125))</f>
        <v>1285240</v>
      </c>
      <c r="E126" s="486">
        <f t="shared" si="44"/>
        <v>80628</v>
      </c>
      <c r="F126" s="485">
        <f t="shared" si="45"/>
        <v>1204612</v>
      </c>
      <c r="G126" s="485">
        <f t="shared" si="46"/>
        <v>1244926</v>
      </c>
      <c r="H126" s="488">
        <f t="shared" si="47"/>
        <v>222291.6066574881</v>
      </c>
      <c r="I126" s="542">
        <f t="shared" si="48"/>
        <v>222291.6066574881</v>
      </c>
      <c r="J126" s="478">
        <f t="shared" si="27"/>
        <v>0</v>
      </c>
      <c r="K126" s="478"/>
      <c r="L126" s="487"/>
      <c r="M126" s="478">
        <f t="shared" si="49"/>
        <v>0</v>
      </c>
      <c r="N126" s="487"/>
      <c r="O126" s="478">
        <f t="shared" si="42"/>
        <v>0</v>
      </c>
      <c r="P126" s="478">
        <f t="shared" si="43"/>
        <v>0</v>
      </c>
    </row>
    <row r="127" spans="2:16" ht="12.5">
      <c r="B127" s="160" t="str">
        <f t="shared" si="33"/>
        <v/>
      </c>
      <c r="C127" s="472">
        <f>IF(D93="","-",+C126+1)</f>
        <v>2040</v>
      </c>
      <c r="D127" s="346">
        <f>IF(F126+SUM(E$99:E126)=D$92,F126,D$92-SUM(E$99:E126))</f>
        <v>1204612</v>
      </c>
      <c r="E127" s="486">
        <f t="shared" si="44"/>
        <v>80628</v>
      </c>
      <c r="F127" s="485">
        <f t="shared" si="45"/>
        <v>1123984</v>
      </c>
      <c r="G127" s="485">
        <f t="shared" si="46"/>
        <v>1164298</v>
      </c>
      <c r="H127" s="488">
        <f t="shared" si="47"/>
        <v>213116.72134094726</v>
      </c>
      <c r="I127" s="542">
        <f t="shared" si="48"/>
        <v>213116.72134094726</v>
      </c>
      <c r="J127" s="478">
        <f t="shared" si="27"/>
        <v>0</v>
      </c>
      <c r="K127" s="478"/>
      <c r="L127" s="487"/>
      <c r="M127" s="478">
        <f t="shared" si="49"/>
        <v>0</v>
      </c>
      <c r="N127" s="487"/>
      <c r="O127" s="478">
        <f t="shared" si="42"/>
        <v>0</v>
      </c>
      <c r="P127" s="478">
        <f t="shared" si="43"/>
        <v>0</v>
      </c>
    </row>
    <row r="128" spans="2:16" ht="12.5">
      <c r="B128" s="160" t="str">
        <f t="shared" si="33"/>
        <v/>
      </c>
      <c r="C128" s="472">
        <f>IF(D93="","-",+C127+1)</f>
        <v>2041</v>
      </c>
      <c r="D128" s="346">
        <f>IF(F127+SUM(E$99:E127)=D$92,F127,D$92-SUM(E$99:E127))</f>
        <v>1123984</v>
      </c>
      <c r="E128" s="486">
        <f t="shared" si="44"/>
        <v>80628</v>
      </c>
      <c r="F128" s="485">
        <f t="shared" si="45"/>
        <v>1043356</v>
      </c>
      <c r="G128" s="485">
        <f t="shared" si="46"/>
        <v>1083670</v>
      </c>
      <c r="H128" s="488">
        <f t="shared" si="47"/>
        <v>203941.83602440637</v>
      </c>
      <c r="I128" s="542">
        <f t="shared" si="48"/>
        <v>203941.83602440637</v>
      </c>
      <c r="J128" s="478">
        <f t="shared" si="27"/>
        <v>0</v>
      </c>
      <c r="K128" s="478"/>
      <c r="L128" s="487"/>
      <c r="M128" s="478">
        <f t="shared" si="49"/>
        <v>0</v>
      </c>
      <c r="N128" s="487"/>
      <c r="O128" s="478">
        <f t="shared" si="42"/>
        <v>0</v>
      </c>
      <c r="P128" s="478">
        <f t="shared" si="43"/>
        <v>0</v>
      </c>
    </row>
    <row r="129" spans="2:16" ht="12.5">
      <c r="B129" s="160" t="str">
        <f t="shared" si="33"/>
        <v/>
      </c>
      <c r="C129" s="472">
        <f>IF(D93="","-",+C128+1)</f>
        <v>2042</v>
      </c>
      <c r="D129" s="346">
        <f>IF(F128+SUM(E$99:E128)=D$92,F128,D$92-SUM(E$99:E128))</f>
        <v>1043356</v>
      </c>
      <c r="E129" s="486">
        <f t="shared" si="44"/>
        <v>80628</v>
      </c>
      <c r="F129" s="485">
        <f t="shared" si="45"/>
        <v>962728</v>
      </c>
      <c r="G129" s="485">
        <f t="shared" si="46"/>
        <v>1003042</v>
      </c>
      <c r="H129" s="488">
        <f t="shared" si="47"/>
        <v>194766.95070786553</v>
      </c>
      <c r="I129" s="542">
        <f t="shared" si="48"/>
        <v>194766.95070786553</v>
      </c>
      <c r="J129" s="478">
        <f t="shared" si="27"/>
        <v>0</v>
      </c>
      <c r="K129" s="478"/>
      <c r="L129" s="487"/>
      <c r="M129" s="478">
        <f t="shared" si="49"/>
        <v>0</v>
      </c>
      <c r="N129" s="487"/>
      <c r="O129" s="478">
        <f t="shared" si="42"/>
        <v>0</v>
      </c>
      <c r="P129" s="478">
        <f t="shared" si="43"/>
        <v>0</v>
      </c>
    </row>
    <row r="130" spans="2:16" ht="12.5">
      <c r="B130" s="160" t="str">
        <f t="shared" si="33"/>
        <v/>
      </c>
      <c r="C130" s="472">
        <f>IF(D93="","-",+C129+1)</f>
        <v>2043</v>
      </c>
      <c r="D130" s="346">
        <f>IF(F129+SUM(E$99:E129)=D$92,F129,D$92-SUM(E$99:E129))</f>
        <v>962728</v>
      </c>
      <c r="E130" s="486">
        <f t="shared" si="44"/>
        <v>80628</v>
      </c>
      <c r="F130" s="485">
        <f t="shared" si="45"/>
        <v>882100</v>
      </c>
      <c r="G130" s="485">
        <f t="shared" si="46"/>
        <v>922414</v>
      </c>
      <c r="H130" s="488">
        <f t="shared" si="47"/>
        <v>185592.06539132464</v>
      </c>
      <c r="I130" s="542">
        <f t="shared" si="48"/>
        <v>185592.06539132464</v>
      </c>
      <c r="J130" s="478">
        <f t="shared" si="27"/>
        <v>0</v>
      </c>
      <c r="K130" s="478"/>
      <c r="L130" s="487"/>
      <c r="M130" s="478">
        <f t="shared" si="49"/>
        <v>0</v>
      </c>
      <c r="N130" s="487"/>
      <c r="O130" s="478">
        <f t="shared" si="42"/>
        <v>0</v>
      </c>
      <c r="P130" s="478">
        <f t="shared" si="43"/>
        <v>0</v>
      </c>
    </row>
    <row r="131" spans="2:16" ht="12.5">
      <c r="B131" s="160" t="str">
        <f t="shared" si="33"/>
        <v/>
      </c>
      <c r="C131" s="472">
        <f>IF(D93="","-",+C130+1)</f>
        <v>2044</v>
      </c>
      <c r="D131" s="346">
        <f>IF(F130+SUM(E$99:E130)=D$92,F130,D$92-SUM(E$99:E130))</f>
        <v>882100</v>
      </c>
      <c r="E131" s="486">
        <f t="shared" si="44"/>
        <v>80628</v>
      </c>
      <c r="F131" s="485">
        <f t="shared" si="45"/>
        <v>801472</v>
      </c>
      <c r="G131" s="485">
        <f t="shared" si="46"/>
        <v>841786</v>
      </c>
      <c r="H131" s="488">
        <f t="shared" ref="H131:H154" si="50">+J$94*G131+E131</f>
        <v>176417.1800747838</v>
      </c>
      <c r="I131" s="542">
        <f t="shared" ref="I131:I154" si="51">+J$95*G131+E131</f>
        <v>176417.1800747838</v>
      </c>
      <c r="J131" s="478">
        <f t="shared" ref="J131:J154" si="52">+I541-H541</f>
        <v>0</v>
      </c>
      <c r="K131" s="478"/>
      <c r="L131" s="487"/>
      <c r="M131" s="478">
        <f t="shared" ref="M131:M154" si="53">IF(L541&lt;&gt;0,+H541-L541,0)</f>
        <v>0</v>
      </c>
      <c r="N131" s="487"/>
      <c r="O131" s="478">
        <f t="shared" ref="O131:O154" si="54">IF(N541&lt;&gt;0,+I541-N541,0)</f>
        <v>0</v>
      </c>
      <c r="P131" s="478">
        <f t="shared" ref="P131:P154" si="55">+O541-M541</f>
        <v>0</v>
      </c>
    </row>
    <row r="132" spans="2:16" ht="12.5">
      <c r="B132" s="160" t="str">
        <f t="shared" ref="B132:B154" si="56">IF(D132=F131,"","IU")</f>
        <v/>
      </c>
      <c r="C132" s="472">
        <f>IF(D93="","-",+C131+1)</f>
        <v>2045</v>
      </c>
      <c r="D132" s="346">
        <f>IF(F131+SUM(E$99:E131)=D$92,F131,D$92-SUM(E$99:E131))</f>
        <v>801472</v>
      </c>
      <c r="E132" s="486">
        <f t="shared" si="44"/>
        <v>80628</v>
      </c>
      <c r="F132" s="485">
        <f t="shared" si="45"/>
        <v>720844</v>
      </c>
      <c r="G132" s="485">
        <f t="shared" si="46"/>
        <v>761158</v>
      </c>
      <c r="H132" s="488">
        <f t="shared" si="50"/>
        <v>167242.29475824293</v>
      </c>
      <c r="I132" s="542">
        <f t="shared" si="51"/>
        <v>167242.29475824293</v>
      </c>
      <c r="J132" s="478">
        <f t="shared" si="52"/>
        <v>0</v>
      </c>
      <c r="K132" s="478"/>
      <c r="L132" s="487"/>
      <c r="M132" s="478">
        <f t="shared" si="53"/>
        <v>0</v>
      </c>
      <c r="N132" s="487"/>
      <c r="O132" s="478">
        <f t="shared" si="54"/>
        <v>0</v>
      </c>
      <c r="P132" s="478">
        <f t="shared" si="55"/>
        <v>0</v>
      </c>
    </row>
    <row r="133" spans="2:16" ht="12.5">
      <c r="B133" s="160" t="str">
        <f t="shared" si="56"/>
        <v/>
      </c>
      <c r="C133" s="472">
        <f>IF(D93="","-",+C132+1)</f>
        <v>2046</v>
      </c>
      <c r="D133" s="346">
        <f>IF(F132+SUM(E$99:E132)=D$92,F132,D$92-SUM(E$99:E132))</f>
        <v>720844</v>
      </c>
      <c r="E133" s="486">
        <f t="shared" si="44"/>
        <v>80628</v>
      </c>
      <c r="F133" s="485">
        <f t="shared" si="45"/>
        <v>640216</v>
      </c>
      <c r="G133" s="485">
        <f t="shared" si="46"/>
        <v>680530</v>
      </c>
      <c r="H133" s="488">
        <f t="shared" si="50"/>
        <v>158067.40944170207</v>
      </c>
      <c r="I133" s="542">
        <f t="shared" si="51"/>
        <v>158067.40944170207</v>
      </c>
      <c r="J133" s="478">
        <f t="shared" si="52"/>
        <v>0</v>
      </c>
      <c r="K133" s="478"/>
      <c r="L133" s="487"/>
      <c r="M133" s="478">
        <f t="shared" si="53"/>
        <v>0</v>
      </c>
      <c r="N133" s="487"/>
      <c r="O133" s="478">
        <f t="shared" si="54"/>
        <v>0</v>
      </c>
      <c r="P133" s="478">
        <f t="shared" si="55"/>
        <v>0</v>
      </c>
    </row>
    <row r="134" spans="2:16" ht="12.5">
      <c r="B134" s="160" t="str">
        <f t="shared" si="56"/>
        <v/>
      </c>
      <c r="C134" s="472">
        <f>IF(D93="","-",+C133+1)</f>
        <v>2047</v>
      </c>
      <c r="D134" s="346">
        <f>IF(F133+SUM(E$99:E133)=D$92,F133,D$92-SUM(E$99:E133))</f>
        <v>640216</v>
      </c>
      <c r="E134" s="486">
        <f t="shared" si="44"/>
        <v>80628</v>
      </c>
      <c r="F134" s="485">
        <f t="shared" si="45"/>
        <v>559588</v>
      </c>
      <c r="G134" s="485">
        <f t="shared" si="46"/>
        <v>599902</v>
      </c>
      <c r="H134" s="488">
        <f t="shared" si="50"/>
        <v>148892.5241251612</v>
      </c>
      <c r="I134" s="542">
        <f t="shared" si="51"/>
        <v>148892.5241251612</v>
      </c>
      <c r="J134" s="478">
        <f t="shared" si="52"/>
        <v>0</v>
      </c>
      <c r="K134" s="478"/>
      <c r="L134" s="487"/>
      <c r="M134" s="478">
        <f t="shared" si="53"/>
        <v>0</v>
      </c>
      <c r="N134" s="487"/>
      <c r="O134" s="478">
        <f t="shared" si="54"/>
        <v>0</v>
      </c>
      <c r="P134" s="478">
        <f t="shared" si="55"/>
        <v>0</v>
      </c>
    </row>
    <row r="135" spans="2:16" ht="12.5">
      <c r="B135" s="160" t="str">
        <f t="shared" si="56"/>
        <v/>
      </c>
      <c r="C135" s="472">
        <f>IF(D93="","-",+C134+1)</f>
        <v>2048</v>
      </c>
      <c r="D135" s="346">
        <f>IF(F134+SUM(E$99:E134)=D$92,F134,D$92-SUM(E$99:E134))</f>
        <v>559588</v>
      </c>
      <c r="E135" s="486">
        <f t="shared" si="44"/>
        <v>80628</v>
      </c>
      <c r="F135" s="485">
        <f t="shared" si="45"/>
        <v>478960</v>
      </c>
      <c r="G135" s="485">
        <f t="shared" si="46"/>
        <v>519274</v>
      </c>
      <c r="H135" s="488">
        <f t="shared" si="50"/>
        <v>139717.63880862034</v>
      </c>
      <c r="I135" s="542">
        <f t="shared" si="51"/>
        <v>139717.63880862034</v>
      </c>
      <c r="J135" s="478">
        <f t="shared" si="52"/>
        <v>0</v>
      </c>
      <c r="K135" s="478"/>
      <c r="L135" s="487"/>
      <c r="M135" s="478">
        <f t="shared" si="53"/>
        <v>0</v>
      </c>
      <c r="N135" s="487"/>
      <c r="O135" s="478">
        <f t="shared" si="54"/>
        <v>0</v>
      </c>
      <c r="P135" s="478">
        <f t="shared" si="55"/>
        <v>0</v>
      </c>
    </row>
    <row r="136" spans="2:16" ht="12.5">
      <c r="B136" s="160" t="str">
        <f t="shared" si="56"/>
        <v/>
      </c>
      <c r="C136" s="472">
        <f>IF(D93="","-",+C135+1)</f>
        <v>2049</v>
      </c>
      <c r="D136" s="346">
        <f>IF(F135+SUM(E$99:E135)=D$92,F135,D$92-SUM(E$99:E135))</f>
        <v>478960</v>
      </c>
      <c r="E136" s="486">
        <f t="shared" si="44"/>
        <v>80628</v>
      </c>
      <c r="F136" s="485">
        <f t="shared" si="45"/>
        <v>398332</v>
      </c>
      <c r="G136" s="485">
        <f t="shared" si="46"/>
        <v>438646</v>
      </c>
      <c r="H136" s="488">
        <f t="shared" si="50"/>
        <v>130542.75349207947</v>
      </c>
      <c r="I136" s="542">
        <f t="shared" si="51"/>
        <v>130542.75349207947</v>
      </c>
      <c r="J136" s="478">
        <f t="shared" si="52"/>
        <v>0</v>
      </c>
      <c r="K136" s="478"/>
      <c r="L136" s="487"/>
      <c r="M136" s="478">
        <f t="shared" si="53"/>
        <v>0</v>
      </c>
      <c r="N136" s="487"/>
      <c r="O136" s="478">
        <f t="shared" si="54"/>
        <v>0</v>
      </c>
      <c r="P136" s="478">
        <f t="shared" si="55"/>
        <v>0</v>
      </c>
    </row>
    <row r="137" spans="2:16" ht="12.5">
      <c r="B137" s="160" t="str">
        <f t="shared" si="56"/>
        <v/>
      </c>
      <c r="C137" s="472">
        <f>IF(D93="","-",+C136+1)</f>
        <v>2050</v>
      </c>
      <c r="D137" s="346">
        <f>IF(F136+SUM(E$99:E136)=D$92,F136,D$92-SUM(E$99:E136))</f>
        <v>398332</v>
      </c>
      <c r="E137" s="486">
        <f t="shared" si="44"/>
        <v>80628</v>
      </c>
      <c r="F137" s="485">
        <f t="shared" si="45"/>
        <v>317704</v>
      </c>
      <c r="G137" s="485">
        <f t="shared" si="46"/>
        <v>358018</v>
      </c>
      <c r="H137" s="488">
        <f t="shared" si="50"/>
        <v>121367.86817553861</v>
      </c>
      <c r="I137" s="542">
        <f t="shared" si="51"/>
        <v>121367.86817553861</v>
      </c>
      <c r="J137" s="478">
        <f t="shared" si="52"/>
        <v>0</v>
      </c>
      <c r="K137" s="478"/>
      <c r="L137" s="487"/>
      <c r="M137" s="478">
        <f t="shared" si="53"/>
        <v>0</v>
      </c>
      <c r="N137" s="487"/>
      <c r="O137" s="478">
        <f t="shared" si="54"/>
        <v>0</v>
      </c>
      <c r="P137" s="478">
        <f t="shared" si="55"/>
        <v>0</v>
      </c>
    </row>
    <row r="138" spans="2:16" ht="12.5">
      <c r="B138" s="160" t="str">
        <f t="shared" si="56"/>
        <v/>
      </c>
      <c r="C138" s="472">
        <f>IF(D93="","-",+C137+1)</f>
        <v>2051</v>
      </c>
      <c r="D138" s="346">
        <f>IF(F137+SUM(E$99:E137)=D$92,F137,D$92-SUM(E$99:E137))</f>
        <v>317704</v>
      </c>
      <c r="E138" s="486">
        <f t="shared" si="44"/>
        <v>80628</v>
      </c>
      <c r="F138" s="485">
        <f t="shared" si="45"/>
        <v>237076</v>
      </c>
      <c r="G138" s="485">
        <f t="shared" si="46"/>
        <v>277390</v>
      </c>
      <c r="H138" s="488">
        <f t="shared" si="50"/>
        <v>112192.98285899774</v>
      </c>
      <c r="I138" s="542">
        <f t="shared" si="51"/>
        <v>112192.98285899774</v>
      </c>
      <c r="J138" s="478">
        <f t="shared" si="52"/>
        <v>0</v>
      </c>
      <c r="K138" s="478"/>
      <c r="L138" s="487"/>
      <c r="M138" s="478">
        <f t="shared" si="53"/>
        <v>0</v>
      </c>
      <c r="N138" s="487"/>
      <c r="O138" s="478">
        <f t="shared" si="54"/>
        <v>0</v>
      </c>
      <c r="P138" s="478">
        <f t="shared" si="55"/>
        <v>0</v>
      </c>
    </row>
    <row r="139" spans="2:16" ht="12.5">
      <c r="B139" s="160" t="str">
        <f t="shared" si="56"/>
        <v/>
      </c>
      <c r="C139" s="472">
        <f>IF(D93="","-",+C138+1)</f>
        <v>2052</v>
      </c>
      <c r="D139" s="346">
        <f>IF(F138+SUM(E$99:E138)=D$92,F138,D$92-SUM(E$99:E138))</f>
        <v>237076</v>
      </c>
      <c r="E139" s="486">
        <f t="shared" si="44"/>
        <v>80628</v>
      </c>
      <c r="F139" s="485">
        <f t="shared" si="45"/>
        <v>156448</v>
      </c>
      <c r="G139" s="485">
        <f t="shared" si="46"/>
        <v>196762</v>
      </c>
      <c r="H139" s="488">
        <f t="shared" si="50"/>
        <v>103018.09754245688</v>
      </c>
      <c r="I139" s="542">
        <f t="shared" si="51"/>
        <v>103018.09754245688</v>
      </c>
      <c r="J139" s="478">
        <f t="shared" si="52"/>
        <v>0</v>
      </c>
      <c r="K139" s="478"/>
      <c r="L139" s="487"/>
      <c r="M139" s="478">
        <f t="shared" si="53"/>
        <v>0</v>
      </c>
      <c r="N139" s="487"/>
      <c r="O139" s="478">
        <f t="shared" si="54"/>
        <v>0</v>
      </c>
      <c r="P139" s="478">
        <f t="shared" si="55"/>
        <v>0</v>
      </c>
    </row>
    <row r="140" spans="2:16" ht="12.5">
      <c r="B140" s="160" t="str">
        <f t="shared" si="56"/>
        <v/>
      </c>
      <c r="C140" s="472">
        <f>IF(D93="","-",+C139+1)</f>
        <v>2053</v>
      </c>
      <c r="D140" s="346">
        <f>IF(F139+SUM(E$99:E139)=D$92,F139,D$92-SUM(E$99:E139))</f>
        <v>156448</v>
      </c>
      <c r="E140" s="486">
        <f t="shared" si="44"/>
        <v>80628</v>
      </c>
      <c r="F140" s="485">
        <f t="shared" si="45"/>
        <v>75820</v>
      </c>
      <c r="G140" s="485">
        <f t="shared" si="46"/>
        <v>116134</v>
      </c>
      <c r="H140" s="488">
        <f t="shared" si="50"/>
        <v>93843.21222591601</v>
      </c>
      <c r="I140" s="542">
        <f t="shared" si="51"/>
        <v>93843.21222591601</v>
      </c>
      <c r="J140" s="478">
        <f t="shared" si="52"/>
        <v>0</v>
      </c>
      <c r="K140" s="478"/>
      <c r="L140" s="487"/>
      <c r="M140" s="478">
        <f t="shared" si="53"/>
        <v>0</v>
      </c>
      <c r="N140" s="487"/>
      <c r="O140" s="478">
        <f t="shared" si="54"/>
        <v>0</v>
      </c>
      <c r="P140" s="478">
        <f t="shared" si="55"/>
        <v>0</v>
      </c>
    </row>
    <row r="141" spans="2:16" ht="12.5">
      <c r="B141" s="160" t="str">
        <f t="shared" si="56"/>
        <v/>
      </c>
      <c r="C141" s="472">
        <f>IF(D93="","-",+C140+1)</f>
        <v>2054</v>
      </c>
      <c r="D141" s="346">
        <f>IF(F140+SUM(E$99:E140)=D$92,F140,D$92-SUM(E$99:E140))</f>
        <v>75820</v>
      </c>
      <c r="E141" s="486">
        <f t="shared" si="44"/>
        <v>75820</v>
      </c>
      <c r="F141" s="485">
        <f t="shared" si="45"/>
        <v>0</v>
      </c>
      <c r="G141" s="485">
        <f t="shared" si="46"/>
        <v>37910</v>
      </c>
      <c r="H141" s="488">
        <f t="shared" si="50"/>
        <v>80133.884783822796</v>
      </c>
      <c r="I141" s="542">
        <f t="shared" si="51"/>
        <v>80133.884783822796</v>
      </c>
      <c r="J141" s="478">
        <f t="shared" si="52"/>
        <v>0</v>
      </c>
      <c r="K141" s="478"/>
      <c r="L141" s="487"/>
      <c r="M141" s="478">
        <f t="shared" si="53"/>
        <v>0</v>
      </c>
      <c r="N141" s="487"/>
      <c r="O141" s="478">
        <f t="shared" si="54"/>
        <v>0</v>
      </c>
      <c r="P141" s="478">
        <f t="shared" si="55"/>
        <v>0</v>
      </c>
    </row>
    <row r="142" spans="2:16" ht="12.5">
      <c r="B142" s="160" t="str">
        <f t="shared" si="56"/>
        <v/>
      </c>
      <c r="C142" s="472">
        <f>IF(D93="","-",+C141+1)</f>
        <v>2055</v>
      </c>
      <c r="D142" s="346">
        <f>IF(F141+SUM(E$99:E141)=D$92,F141,D$92-SUM(E$99:E141))</f>
        <v>0</v>
      </c>
      <c r="E142" s="486">
        <f t="shared" si="44"/>
        <v>0</v>
      </c>
      <c r="F142" s="485">
        <f t="shared" si="45"/>
        <v>0</v>
      </c>
      <c r="G142" s="485">
        <f t="shared" si="46"/>
        <v>0</v>
      </c>
      <c r="H142" s="488">
        <f t="shared" si="50"/>
        <v>0</v>
      </c>
      <c r="I142" s="542">
        <f t="shared" si="51"/>
        <v>0</v>
      </c>
      <c r="J142" s="478">
        <f t="shared" si="52"/>
        <v>0</v>
      </c>
      <c r="K142" s="478"/>
      <c r="L142" s="487"/>
      <c r="M142" s="478">
        <f t="shared" si="53"/>
        <v>0</v>
      </c>
      <c r="N142" s="487"/>
      <c r="O142" s="478">
        <f t="shared" si="54"/>
        <v>0</v>
      </c>
      <c r="P142" s="478">
        <f t="shared" si="55"/>
        <v>0</v>
      </c>
    </row>
    <row r="143" spans="2:16" ht="12.5">
      <c r="B143" s="160" t="str">
        <f t="shared" si="56"/>
        <v/>
      </c>
      <c r="C143" s="472">
        <f>IF(D93="","-",+C142+1)</f>
        <v>2056</v>
      </c>
      <c r="D143" s="346">
        <f>IF(F142+SUM(E$99:E142)=D$92,F142,D$92-SUM(E$99:E142))</f>
        <v>0</v>
      </c>
      <c r="E143" s="486">
        <f t="shared" si="44"/>
        <v>0</v>
      </c>
      <c r="F143" s="485">
        <f t="shared" si="45"/>
        <v>0</v>
      </c>
      <c r="G143" s="485">
        <f t="shared" si="46"/>
        <v>0</v>
      </c>
      <c r="H143" s="488">
        <f t="shared" si="50"/>
        <v>0</v>
      </c>
      <c r="I143" s="542">
        <f t="shared" si="51"/>
        <v>0</v>
      </c>
      <c r="J143" s="478">
        <f t="shared" si="52"/>
        <v>0</v>
      </c>
      <c r="K143" s="478"/>
      <c r="L143" s="487"/>
      <c r="M143" s="478">
        <f t="shared" si="53"/>
        <v>0</v>
      </c>
      <c r="N143" s="487"/>
      <c r="O143" s="478">
        <f t="shared" si="54"/>
        <v>0</v>
      </c>
      <c r="P143" s="478">
        <f t="shared" si="55"/>
        <v>0</v>
      </c>
    </row>
    <row r="144" spans="2:16" ht="12.5">
      <c r="B144" s="160" t="str">
        <f t="shared" si="56"/>
        <v/>
      </c>
      <c r="C144" s="472">
        <f>IF(D93="","-",+C143+1)</f>
        <v>2057</v>
      </c>
      <c r="D144" s="346">
        <f>IF(F143+SUM(E$99:E143)=D$92,F143,D$92-SUM(E$99:E143))</f>
        <v>0</v>
      </c>
      <c r="E144" s="486">
        <f t="shared" si="44"/>
        <v>0</v>
      </c>
      <c r="F144" s="485">
        <f t="shared" si="45"/>
        <v>0</v>
      </c>
      <c r="G144" s="485">
        <f t="shared" si="46"/>
        <v>0</v>
      </c>
      <c r="H144" s="488">
        <f t="shared" si="50"/>
        <v>0</v>
      </c>
      <c r="I144" s="542">
        <f t="shared" si="51"/>
        <v>0</v>
      </c>
      <c r="J144" s="478">
        <f t="shared" si="52"/>
        <v>0</v>
      </c>
      <c r="K144" s="478"/>
      <c r="L144" s="487"/>
      <c r="M144" s="478">
        <f t="shared" si="53"/>
        <v>0</v>
      </c>
      <c r="N144" s="487"/>
      <c r="O144" s="478">
        <f t="shared" si="54"/>
        <v>0</v>
      </c>
      <c r="P144" s="478">
        <f t="shared" si="55"/>
        <v>0</v>
      </c>
    </row>
    <row r="145" spans="2:16" ht="12.5">
      <c r="B145" s="160" t="str">
        <f t="shared" si="56"/>
        <v/>
      </c>
      <c r="C145" s="472">
        <f>IF(D93="","-",+C144+1)</f>
        <v>2058</v>
      </c>
      <c r="D145" s="346">
        <f>IF(F144+SUM(E$99:E144)=D$92,F144,D$92-SUM(E$99:E144))</f>
        <v>0</v>
      </c>
      <c r="E145" s="486">
        <f t="shared" si="44"/>
        <v>0</v>
      </c>
      <c r="F145" s="485">
        <f t="shared" si="45"/>
        <v>0</v>
      </c>
      <c r="G145" s="485">
        <f t="shared" si="46"/>
        <v>0</v>
      </c>
      <c r="H145" s="488">
        <f t="shared" si="50"/>
        <v>0</v>
      </c>
      <c r="I145" s="542">
        <f t="shared" si="51"/>
        <v>0</v>
      </c>
      <c r="J145" s="478">
        <f t="shared" si="52"/>
        <v>0</v>
      </c>
      <c r="K145" s="478"/>
      <c r="L145" s="487"/>
      <c r="M145" s="478">
        <f t="shared" si="53"/>
        <v>0</v>
      </c>
      <c r="N145" s="487"/>
      <c r="O145" s="478">
        <f t="shared" si="54"/>
        <v>0</v>
      </c>
      <c r="P145" s="478">
        <f t="shared" si="55"/>
        <v>0</v>
      </c>
    </row>
    <row r="146" spans="2:16" ht="12.5">
      <c r="B146" s="160" t="str">
        <f t="shared" si="56"/>
        <v/>
      </c>
      <c r="C146" s="472">
        <f>IF(D93="","-",+C145+1)</f>
        <v>2059</v>
      </c>
      <c r="D146" s="346">
        <f>IF(F145+SUM(E$99:E145)=D$92,F145,D$92-SUM(E$99:E145))</f>
        <v>0</v>
      </c>
      <c r="E146" s="486">
        <f t="shared" si="44"/>
        <v>0</v>
      </c>
      <c r="F146" s="485">
        <f t="shared" si="45"/>
        <v>0</v>
      </c>
      <c r="G146" s="485">
        <f t="shared" si="46"/>
        <v>0</v>
      </c>
      <c r="H146" s="488">
        <f t="shared" si="50"/>
        <v>0</v>
      </c>
      <c r="I146" s="542">
        <f t="shared" si="51"/>
        <v>0</v>
      </c>
      <c r="J146" s="478">
        <f t="shared" si="52"/>
        <v>0</v>
      </c>
      <c r="K146" s="478"/>
      <c r="L146" s="487"/>
      <c r="M146" s="478">
        <f t="shared" si="53"/>
        <v>0</v>
      </c>
      <c r="N146" s="487"/>
      <c r="O146" s="478">
        <f t="shared" si="54"/>
        <v>0</v>
      </c>
      <c r="P146" s="478">
        <f t="shared" si="55"/>
        <v>0</v>
      </c>
    </row>
    <row r="147" spans="2:16" ht="12.5">
      <c r="B147" s="160" t="str">
        <f t="shared" si="56"/>
        <v/>
      </c>
      <c r="C147" s="472">
        <f>IF(D93="","-",+C146+1)</f>
        <v>2060</v>
      </c>
      <c r="D147" s="346">
        <f>IF(F146+SUM(E$99:E146)=D$92,F146,D$92-SUM(E$99:E146))</f>
        <v>0</v>
      </c>
      <c r="E147" s="486">
        <f t="shared" si="44"/>
        <v>0</v>
      </c>
      <c r="F147" s="485">
        <f t="shared" si="45"/>
        <v>0</v>
      </c>
      <c r="G147" s="485">
        <f t="shared" si="46"/>
        <v>0</v>
      </c>
      <c r="H147" s="488">
        <f t="shared" si="50"/>
        <v>0</v>
      </c>
      <c r="I147" s="542">
        <f t="shared" si="51"/>
        <v>0</v>
      </c>
      <c r="J147" s="478">
        <f t="shared" si="52"/>
        <v>0</v>
      </c>
      <c r="K147" s="478"/>
      <c r="L147" s="487"/>
      <c r="M147" s="478">
        <f t="shared" si="53"/>
        <v>0</v>
      </c>
      <c r="N147" s="487"/>
      <c r="O147" s="478">
        <f t="shared" si="54"/>
        <v>0</v>
      </c>
      <c r="P147" s="478">
        <f t="shared" si="55"/>
        <v>0</v>
      </c>
    </row>
    <row r="148" spans="2:16" ht="12.5">
      <c r="B148" s="160" t="str">
        <f t="shared" si="56"/>
        <v/>
      </c>
      <c r="C148" s="472">
        <f>IF(D93="","-",+C147+1)</f>
        <v>2061</v>
      </c>
      <c r="D148" s="346">
        <f>IF(F147+SUM(E$99:E147)=D$92,F147,D$92-SUM(E$99:E147))</f>
        <v>0</v>
      </c>
      <c r="E148" s="486">
        <f t="shared" si="44"/>
        <v>0</v>
      </c>
      <c r="F148" s="485">
        <f t="shared" si="45"/>
        <v>0</v>
      </c>
      <c r="G148" s="485">
        <f t="shared" si="46"/>
        <v>0</v>
      </c>
      <c r="H148" s="488">
        <f t="shared" si="50"/>
        <v>0</v>
      </c>
      <c r="I148" s="542">
        <f t="shared" si="51"/>
        <v>0</v>
      </c>
      <c r="J148" s="478">
        <f t="shared" si="52"/>
        <v>0</v>
      </c>
      <c r="K148" s="478"/>
      <c r="L148" s="487"/>
      <c r="M148" s="478">
        <f t="shared" si="53"/>
        <v>0</v>
      </c>
      <c r="N148" s="487"/>
      <c r="O148" s="478">
        <f t="shared" si="54"/>
        <v>0</v>
      </c>
      <c r="P148" s="478">
        <f t="shared" si="55"/>
        <v>0</v>
      </c>
    </row>
    <row r="149" spans="2:16" ht="12.5">
      <c r="B149" s="160" t="str">
        <f t="shared" si="56"/>
        <v/>
      </c>
      <c r="C149" s="472">
        <f>IF(D93="","-",+C148+1)</f>
        <v>2062</v>
      </c>
      <c r="D149" s="346">
        <f>IF(F148+SUM(E$99:E148)=D$92,F148,D$92-SUM(E$99:E148))</f>
        <v>0</v>
      </c>
      <c r="E149" s="486">
        <f t="shared" si="44"/>
        <v>0</v>
      </c>
      <c r="F149" s="485">
        <f t="shared" si="45"/>
        <v>0</v>
      </c>
      <c r="G149" s="485">
        <f t="shared" si="46"/>
        <v>0</v>
      </c>
      <c r="H149" s="488">
        <f t="shared" si="50"/>
        <v>0</v>
      </c>
      <c r="I149" s="542">
        <f t="shared" si="51"/>
        <v>0</v>
      </c>
      <c r="J149" s="478">
        <f t="shared" si="52"/>
        <v>0</v>
      </c>
      <c r="K149" s="478"/>
      <c r="L149" s="487"/>
      <c r="M149" s="478">
        <f t="shared" si="53"/>
        <v>0</v>
      </c>
      <c r="N149" s="487"/>
      <c r="O149" s="478">
        <f t="shared" si="54"/>
        <v>0</v>
      </c>
      <c r="P149" s="478">
        <f t="shared" si="55"/>
        <v>0</v>
      </c>
    </row>
    <row r="150" spans="2:16" ht="12.5">
      <c r="B150" s="160" t="str">
        <f t="shared" si="56"/>
        <v/>
      </c>
      <c r="C150" s="472">
        <f>IF(D93="","-",+C149+1)</f>
        <v>2063</v>
      </c>
      <c r="D150" s="346">
        <f>IF(F149+SUM(E$99:E149)=D$92,F149,D$92-SUM(E$99:E149))</f>
        <v>0</v>
      </c>
      <c r="E150" s="486">
        <f t="shared" si="44"/>
        <v>0</v>
      </c>
      <c r="F150" s="485">
        <f t="shared" si="45"/>
        <v>0</v>
      </c>
      <c r="G150" s="485">
        <f t="shared" si="46"/>
        <v>0</v>
      </c>
      <c r="H150" s="488">
        <f t="shared" si="50"/>
        <v>0</v>
      </c>
      <c r="I150" s="542">
        <f t="shared" si="51"/>
        <v>0</v>
      </c>
      <c r="J150" s="478">
        <f t="shared" si="52"/>
        <v>0</v>
      </c>
      <c r="K150" s="478"/>
      <c r="L150" s="487"/>
      <c r="M150" s="478">
        <f t="shared" si="53"/>
        <v>0</v>
      </c>
      <c r="N150" s="487"/>
      <c r="O150" s="478">
        <f t="shared" si="54"/>
        <v>0</v>
      </c>
      <c r="P150" s="478">
        <f t="shared" si="55"/>
        <v>0</v>
      </c>
    </row>
    <row r="151" spans="2:16" ht="12.5">
      <c r="B151" s="160" t="str">
        <f t="shared" si="56"/>
        <v/>
      </c>
      <c r="C151" s="472">
        <f>IF(D93="","-",+C150+1)</f>
        <v>2064</v>
      </c>
      <c r="D151" s="346">
        <f>IF(F150+SUM(E$99:E150)=D$92,F150,D$92-SUM(E$99:E150))</f>
        <v>0</v>
      </c>
      <c r="E151" s="486">
        <f t="shared" si="44"/>
        <v>0</v>
      </c>
      <c r="F151" s="485">
        <f t="shared" si="45"/>
        <v>0</v>
      </c>
      <c r="G151" s="485">
        <f t="shared" si="46"/>
        <v>0</v>
      </c>
      <c r="H151" s="488">
        <f t="shared" si="50"/>
        <v>0</v>
      </c>
      <c r="I151" s="542">
        <f t="shared" si="51"/>
        <v>0</v>
      </c>
      <c r="J151" s="478">
        <f t="shared" si="52"/>
        <v>0</v>
      </c>
      <c r="K151" s="478"/>
      <c r="L151" s="487"/>
      <c r="M151" s="478">
        <f t="shared" si="53"/>
        <v>0</v>
      </c>
      <c r="N151" s="487"/>
      <c r="O151" s="478">
        <f t="shared" si="54"/>
        <v>0</v>
      </c>
      <c r="P151" s="478">
        <f t="shared" si="55"/>
        <v>0</v>
      </c>
    </row>
    <row r="152" spans="2:16" ht="12.5">
      <c r="B152" s="160" t="str">
        <f t="shared" si="56"/>
        <v/>
      </c>
      <c r="C152" s="472">
        <f>IF(D93="","-",+C151+1)</f>
        <v>2065</v>
      </c>
      <c r="D152" s="346">
        <f>IF(F151+SUM(E$99:E151)=D$92,F151,D$92-SUM(E$99:E151))</f>
        <v>0</v>
      </c>
      <c r="E152" s="486">
        <f t="shared" si="44"/>
        <v>0</v>
      </c>
      <c r="F152" s="485">
        <f t="shared" si="45"/>
        <v>0</v>
      </c>
      <c r="G152" s="485">
        <f t="shared" si="46"/>
        <v>0</v>
      </c>
      <c r="H152" s="488">
        <f t="shared" si="50"/>
        <v>0</v>
      </c>
      <c r="I152" s="542">
        <f t="shared" si="51"/>
        <v>0</v>
      </c>
      <c r="J152" s="478">
        <f t="shared" si="52"/>
        <v>0</v>
      </c>
      <c r="K152" s="478"/>
      <c r="L152" s="487"/>
      <c r="M152" s="478">
        <f t="shared" si="53"/>
        <v>0</v>
      </c>
      <c r="N152" s="487"/>
      <c r="O152" s="478">
        <f t="shared" si="54"/>
        <v>0</v>
      </c>
      <c r="P152" s="478">
        <f t="shared" si="55"/>
        <v>0</v>
      </c>
    </row>
    <row r="153" spans="2:16" ht="12.5">
      <c r="B153" s="160" t="str">
        <f t="shared" si="56"/>
        <v/>
      </c>
      <c r="C153" s="472">
        <f>IF(D93="","-",+C152+1)</f>
        <v>2066</v>
      </c>
      <c r="D153" s="346">
        <f>IF(F152+SUM(E$99:E152)=D$92,F152,D$92-SUM(E$99:E152))</f>
        <v>0</v>
      </c>
      <c r="E153" s="486">
        <f t="shared" si="44"/>
        <v>0</v>
      </c>
      <c r="F153" s="485">
        <f t="shared" si="45"/>
        <v>0</v>
      </c>
      <c r="G153" s="485">
        <f t="shared" si="46"/>
        <v>0</v>
      </c>
      <c r="H153" s="488">
        <f t="shared" si="50"/>
        <v>0</v>
      </c>
      <c r="I153" s="542">
        <f t="shared" si="51"/>
        <v>0</v>
      </c>
      <c r="J153" s="478">
        <f t="shared" si="52"/>
        <v>0</v>
      </c>
      <c r="K153" s="478"/>
      <c r="L153" s="487"/>
      <c r="M153" s="478">
        <f t="shared" si="53"/>
        <v>0</v>
      </c>
      <c r="N153" s="487"/>
      <c r="O153" s="478">
        <f t="shared" si="54"/>
        <v>0</v>
      </c>
      <c r="P153" s="478">
        <f t="shared" si="55"/>
        <v>0</v>
      </c>
    </row>
    <row r="154" spans="2:16" ht="13" thickBot="1">
      <c r="B154" s="160" t="str">
        <f t="shared" si="56"/>
        <v/>
      </c>
      <c r="C154" s="489">
        <f>IF(D93="","-",+C153+1)</f>
        <v>2067</v>
      </c>
      <c r="D154" s="543">
        <f>IF(F153+SUM(E$99:E153)=D$92,F153,D$92-SUM(E$99:E153))</f>
        <v>0</v>
      </c>
      <c r="E154" s="544">
        <f t="shared" si="44"/>
        <v>0</v>
      </c>
      <c r="F154" s="490">
        <f t="shared" si="45"/>
        <v>0</v>
      </c>
      <c r="G154" s="490">
        <f t="shared" si="46"/>
        <v>0</v>
      </c>
      <c r="H154" s="492">
        <f t="shared" si="50"/>
        <v>0</v>
      </c>
      <c r="I154" s="545">
        <f t="shared" si="51"/>
        <v>0</v>
      </c>
      <c r="J154" s="495">
        <f t="shared" si="52"/>
        <v>0</v>
      </c>
      <c r="K154" s="478"/>
      <c r="L154" s="494"/>
      <c r="M154" s="495">
        <f t="shared" si="53"/>
        <v>0</v>
      </c>
      <c r="N154" s="494"/>
      <c r="O154" s="495">
        <f t="shared" si="54"/>
        <v>0</v>
      </c>
      <c r="P154" s="495">
        <f t="shared" si="55"/>
        <v>0</v>
      </c>
    </row>
    <row r="155" spans="2:16" ht="12.5">
      <c r="C155" s="346" t="s">
        <v>77</v>
      </c>
      <c r="D155" s="347"/>
      <c r="E155" s="347">
        <f>SUM(E99:E154)</f>
        <v>3305767</v>
      </c>
      <c r="F155" s="347"/>
      <c r="G155" s="347"/>
      <c r="H155" s="347">
        <f>SUM(H99:H154)</f>
        <v>11663036.246416507</v>
      </c>
      <c r="I155" s="347">
        <f>SUM(I99:I154)</f>
        <v>11663036.246416507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8:C72">
    <cfRule type="cellIs" dxfId="44" priority="2" stopIfTrue="1" operator="equal">
      <formula>$I$10</formula>
    </cfRule>
  </conditionalFormatting>
  <conditionalFormatting sqref="C99:C154">
    <cfRule type="cellIs" dxfId="43" priority="3" stopIfTrue="1" operator="equal">
      <formula>$J$92</formula>
    </cfRule>
  </conditionalFormatting>
  <conditionalFormatting sqref="C17">
    <cfRule type="cellIs" dxfId="42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C00000"/>
  </sheetPr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13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2539.5897435897436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2539.5897435897436</v>
      </c>
      <c r="O6" s="232"/>
      <c r="P6" s="232"/>
    </row>
    <row r="7" spans="1:16" ht="13.5" thickBot="1">
      <c r="C7" s="431" t="s">
        <v>46</v>
      </c>
      <c r="D7" s="432" t="s">
        <v>259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239</v>
      </c>
      <c r="E9" s="577" t="s">
        <v>293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22097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566.58974358974353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9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D11</f>
        <v>2010</v>
      </c>
      <c r="D17" s="473">
        <v>0</v>
      </c>
      <c r="E17" s="479">
        <v>0</v>
      </c>
      <c r="F17" s="479">
        <v>0</v>
      </c>
      <c r="G17" s="479">
        <v>0</v>
      </c>
      <c r="H17" s="588">
        <v>0</v>
      </c>
      <c r="I17" s="475">
        <f t="shared" ref="I17:I48" si="0">H17-G17</f>
        <v>0</v>
      </c>
      <c r="J17" s="348"/>
      <c r="K17" s="476">
        <f t="shared" ref="K17:K22" si="1">G17</f>
        <v>0</v>
      </c>
      <c r="L17" s="589">
        <f t="shared" ref="L17:L48" si="2">IF(K17&lt;&gt;0,+G17-K17,0)</f>
        <v>0</v>
      </c>
      <c r="M17" s="476">
        <f t="shared" ref="M17:M22" si="3">H17</f>
        <v>0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 ht="12.5">
      <c r="B18" s="160" t="str">
        <f t="shared" ref="B18:B49" si="6">IF(D18=F17,"","IU")</f>
        <v/>
      </c>
      <c r="C18" s="472">
        <f>IF($D$11="","-",+C17+1)</f>
        <v>2011</v>
      </c>
      <c r="D18" s="473">
        <v>0</v>
      </c>
      <c r="E18" s="479">
        <v>0</v>
      </c>
      <c r="F18" s="479">
        <v>0</v>
      </c>
      <c r="G18" s="479">
        <v>0</v>
      </c>
      <c r="H18" s="588">
        <v>0</v>
      </c>
      <c r="I18" s="475">
        <f t="shared" si="0"/>
        <v>0</v>
      </c>
      <c r="J18" s="348"/>
      <c r="K18" s="476">
        <f t="shared" si="1"/>
        <v>0</v>
      </c>
      <c r="L18" s="348">
        <f t="shared" si="2"/>
        <v>0</v>
      </c>
      <c r="M18" s="476">
        <f t="shared" si="3"/>
        <v>0</v>
      </c>
      <c r="N18" s="475">
        <f t="shared" si="4"/>
        <v>0</v>
      </c>
      <c r="O18" s="478">
        <f t="shared" si="5"/>
        <v>0</v>
      </c>
      <c r="P18" s="242"/>
    </row>
    <row r="19" spans="2:16" ht="12.5">
      <c r="B19" s="160" t="str">
        <f t="shared" si="6"/>
        <v>IU</v>
      </c>
      <c r="C19" s="472">
        <f>IF(D11="","-",+C18+1)</f>
        <v>2012</v>
      </c>
      <c r="D19" s="473">
        <v>22097</v>
      </c>
      <c r="E19" s="480">
        <v>212.47115384615381</v>
      </c>
      <c r="F19" s="473">
        <v>21884.528846153848</v>
      </c>
      <c r="G19" s="480">
        <v>3258.944937760969</v>
      </c>
      <c r="H19" s="481">
        <v>3258.944937760969</v>
      </c>
      <c r="I19" s="475">
        <f>H19-G19</f>
        <v>0</v>
      </c>
      <c r="J19" s="348"/>
      <c r="K19" s="476">
        <f t="shared" si="1"/>
        <v>3258.944937760969</v>
      </c>
      <c r="L19" s="348">
        <f t="shared" si="2"/>
        <v>0</v>
      </c>
      <c r="M19" s="476">
        <f t="shared" si="3"/>
        <v>3258.944937760969</v>
      </c>
      <c r="N19" s="475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si="6"/>
        <v/>
      </c>
      <c r="C20" s="472">
        <f>IF(D11="","-",+C19+1)</f>
        <v>2013</v>
      </c>
      <c r="D20" s="473">
        <v>21884.528846153848</v>
      </c>
      <c r="E20" s="480">
        <v>424.94230769230768</v>
      </c>
      <c r="F20" s="473">
        <v>21459.586538461539</v>
      </c>
      <c r="G20" s="480">
        <v>3489.9423076923076</v>
      </c>
      <c r="H20" s="481">
        <v>3489.9423076923076</v>
      </c>
      <c r="I20" s="475">
        <v>0</v>
      </c>
      <c r="J20" s="475"/>
      <c r="K20" s="476">
        <f t="shared" si="1"/>
        <v>3489.9423076923076</v>
      </c>
      <c r="L20" s="348">
        <f t="shared" ref="L20:L25" si="7">IF(K20&lt;&gt;0,+G20-K20,0)</f>
        <v>0</v>
      </c>
      <c r="M20" s="476">
        <f t="shared" si="3"/>
        <v>3489.9423076923076</v>
      </c>
      <c r="N20" s="475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 ht="12.5">
      <c r="B21" s="160" t="str">
        <f t="shared" si="6"/>
        <v/>
      </c>
      <c r="C21" s="472">
        <f>IF(D11="","-",+C20+1)</f>
        <v>2014</v>
      </c>
      <c r="D21" s="473">
        <v>21459.586538461539</v>
      </c>
      <c r="E21" s="480">
        <v>424.94230769230768</v>
      </c>
      <c r="F21" s="473">
        <v>21034.64423076923</v>
      </c>
      <c r="G21" s="480">
        <v>3320.9423076923076</v>
      </c>
      <c r="H21" s="481">
        <v>3320.9423076923076</v>
      </c>
      <c r="I21" s="475">
        <v>0</v>
      </c>
      <c r="J21" s="475"/>
      <c r="K21" s="476">
        <f t="shared" si="1"/>
        <v>3320.9423076923076</v>
      </c>
      <c r="L21" s="348">
        <f t="shared" si="7"/>
        <v>0</v>
      </c>
      <c r="M21" s="476">
        <f t="shared" si="3"/>
        <v>3320.9423076923076</v>
      </c>
      <c r="N21" s="475">
        <f t="shared" si="8"/>
        <v>0</v>
      </c>
      <c r="O21" s="478">
        <f t="shared" si="9"/>
        <v>0</v>
      </c>
      <c r="P21" s="242"/>
    </row>
    <row r="22" spans="2:16" ht="12.5">
      <c r="B22" s="160" t="str">
        <f t="shared" si="6"/>
        <v/>
      </c>
      <c r="C22" s="472">
        <f>IF(D11="","-",+C21+1)</f>
        <v>2015</v>
      </c>
      <c r="D22" s="473">
        <v>21034.64423076923</v>
      </c>
      <c r="E22" s="480">
        <v>424.94230769230768</v>
      </c>
      <c r="F22" s="473">
        <v>20609.701923076922</v>
      </c>
      <c r="G22" s="480">
        <v>3265.9423076923076</v>
      </c>
      <c r="H22" s="481">
        <v>3265.9423076923076</v>
      </c>
      <c r="I22" s="475">
        <v>0</v>
      </c>
      <c r="J22" s="475"/>
      <c r="K22" s="476">
        <f t="shared" si="1"/>
        <v>3265.9423076923076</v>
      </c>
      <c r="L22" s="348">
        <f t="shared" si="7"/>
        <v>0</v>
      </c>
      <c r="M22" s="476">
        <f t="shared" si="3"/>
        <v>3265.9423076923076</v>
      </c>
      <c r="N22" s="475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2016</v>
      </c>
      <c r="D23" s="473">
        <v>20609.701923076922</v>
      </c>
      <c r="E23" s="480">
        <v>424.94230769230768</v>
      </c>
      <c r="F23" s="473">
        <v>20184.759615384613</v>
      </c>
      <c r="G23" s="480">
        <v>3071.9423076923076</v>
      </c>
      <c r="H23" s="481">
        <v>3071.9423076923076</v>
      </c>
      <c r="I23" s="475">
        <f t="shared" si="0"/>
        <v>0</v>
      </c>
      <c r="J23" s="475"/>
      <c r="K23" s="476">
        <f t="shared" ref="K23:K28" si="10">G23</f>
        <v>3071.9423076923076</v>
      </c>
      <c r="L23" s="348">
        <f t="shared" si="7"/>
        <v>0</v>
      </c>
      <c r="M23" s="476">
        <f t="shared" ref="M23:M28" si="11">H23</f>
        <v>3071.9423076923076</v>
      </c>
      <c r="N23" s="475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2017</v>
      </c>
      <c r="D24" s="473">
        <v>20184.759615384613</v>
      </c>
      <c r="E24" s="480">
        <v>480.36956521739131</v>
      </c>
      <c r="F24" s="473">
        <v>19704.390050167221</v>
      </c>
      <c r="G24" s="480">
        <v>2988.3695652173915</v>
      </c>
      <c r="H24" s="481">
        <v>2988.3695652173915</v>
      </c>
      <c r="I24" s="475">
        <f t="shared" si="0"/>
        <v>0</v>
      </c>
      <c r="J24" s="475"/>
      <c r="K24" s="476">
        <f t="shared" si="10"/>
        <v>2988.3695652173915</v>
      </c>
      <c r="L24" s="348">
        <f t="shared" si="7"/>
        <v>0</v>
      </c>
      <c r="M24" s="476">
        <f t="shared" si="11"/>
        <v>2988.3695652173915</v>
      </c>
      <c r="N24" s="475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2018</v>
      </c>
      <c r="D25" s="473">
        <v>19704.390050167221</v>
      </c>
      <c r="E25" s="480">
        <v>491.04444444444442</v>
      </c>
      <c r="F25" s="473">
        <v>19213.345605722778</v>
      </c>
      <c r="G25" s="480">
        <v>2821.4178428916557</v>
      </c>
      <c r="H25" s="481">
        <v>2821.4178428916557</v>
      </c>
      <c r="I25" s="475">
        <f t="shared" si="0"/>
        <v>0</v>
      </c>
      <c r="J25" s="475"/>
      <c r="K25" s="476">
        <f t="shared" si="10"/>
        <v>2821.4178428916557</v>
      </c>
      <c r="L25" s="348">
        <f t="shared" si="7"/>
        <v>0</v>
      </c>
      <c r="M25" s="476">
        <f t="shared" si="11"/>
        <v>2821.4178428916557</v>
      </c>
      <c r="N25" s="475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2019</v>
      </c>
      <c r="D26" s="473">
        <v>19213.345605722778</v>
      </c>
      <c r="E26" s="480">
        <v>552.42499999999995</v>
      </c>
      <c r="F26" s="473">
        <v>18660.920605722778</v>
      </c>
      <c r="G26" s="480">
        <v>2666.8814890183439</v>
      </c>
      <c r="H26" s="481">
        <v>2666.8814890183439</v>
      </c>
      <c r="I26" s="475">
        <f t="shared" si="0"/>
        <v>0</v>
      </c>
      <c r="J26" s="475"/>
      <c r="K26" s="476">
        <f t="shared" si="10"/>
        <v>2666.8814890183439</v>
      </c>
      <c r="L26" s="348">
        <f t="shared" ref="L26" si="12">IF(K26&lt;&gt;0,+G26-K26,0)</f>
        <v>0</v>
      </c>
      <c r="M26" s="476">
        <f t="shared" si="11"/>
        <v>2666.8814890183439</v>
      </c>
      <c r="N26" s="475">
        <f t="shared" ref="N26" si="13">IF(M26&lt;&gt;0,+H26-M26,0)</f>
        <v>0</v>
      </c>
      <c r="O26" s="478">
        <f t="shared" si="5"/>
        <v>0</v>
      </c>
      <c r="P26" s="242"/>
    </row>
    <row r="27" spans="2:16" ht="12.5">
      <c r="B27" s="160" t="str">
        <f t="shared" si="6"/>
        <v>IU</v>
      </c>
      <c r="C27" s="472">
        <f>IF(D11="","-",+C26+1)</f>
        <v>2020</v>
      </c>
      <c r="D27" s="473">
        <v>18722.301161278334</v>
      </c>
      <c r="E27" s="480">
        <v>526.11904761904759</v>
      </c>
      <c r="F27" s="473">
        <v>18196.182113659288</v>
      </c>
      <c r="G27" s="480">
        <v>2519.8053226007855</v>
      </c>
      <c r="H27" s="481">
        <v>2519.8053226007855</v>
      </c>
      <c r="I27" s="475">
        <f t="shared" si="0"/>
        <v>0</v>
      </c>
      <c r="J27" s="475"/>
      <c r="K27" s="476">
        <f t="shared" si="10"/>
        <v>2519.8053226007855</v>
      </c>
      <c r="L27" s="348">
        <f t="shared" ref="L27" si="14">IF(K27&lt;&gt;0,+G27-K27,0)</f>
        <v>0</v>
      </c>
      <c r="M27" s="476">
        <f t="shared" si="11"/>
        <v>2519.8053226007855</v>
      </c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6"/>
        <v>IU</v>
      </c>
      <c r="C28" s="472">
        <f>IF(D11="","-",+C27+1)</f>
        <v>2021</v>
      </c>
      <c r="D28" s="473">
        <v>18134.801558103733</v>
      </c>
      <c r="E28" s="480">
        <v>513.88372093023258</v>
      </c>
      <c r="F28" s="473">
        <v>17620.9178371735</v>
      </c>
      <c r="G28" s="480">
        <v>2413.8837209302328</v>
      </c>
      <c r="H28" s="481">
        <v>2413.8837209302328</v>
      </c>
      <c r="I28" s="475">
        <f t="shared" si="0"/>
        <v>0</v>
      </c>
      <c r="J28" s="475"/>
      <c r="K28" s="476">
        <f t="shared" si="10"/>
        <v>2413.8837209302328</v>
      </c>
      <c r="L28" s="348">
        <f t="shared" ref="L28" si="15">IF(K28&lt;&gt;0,+G28-K28,0)</f>
        <v>0</v>
      </c>
      <c r="M28" s="476">
        <f t="shared" si="11"/>
        <v>2413.8837209302328</v>
      </c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6"/>
        <v/>
      </c>
      <c r="C29" s="472">
        <f>IF(D11="","-",+C28+1)</f>
        <v>2022</v>
      </c>
      <c r="D29" s="473">
        <v>17620.9178371735</v>
      </c>
      <c r="E29" s="480">
        <v>526.11904761904759</v>
      </c>
      <c r="F29" s="473">
        <v>17094.798789554454</v>
      </c>
      <c r="G29" s="480">
        <v>2369.1190476190477</v>
      </c>
      <c r="H29" s="481">
        <v>2369.1190476190477</v>
      </c>
      <c r="I29" s="475">
        <f t="shared" si="0"/>
        <v>0</v>
      </c>
      <c r="J29" s="475"/>
      <c r="K29" s="476">
        <f t="shared" ref="K29" si="16">G29</f>
        <v>2369.1190476190477</v>
      </c>
      <c r="L29" s="348">
        <f t="shared" ref="L29" si="17">IF(K29&lt;&gt;0,+G29-K29,0)</f>
        <v>0</v>
      </c>
      <c r="M29" s="476">
        <f t="shared" ref="M29" si="18">H29</f>
        <v>2369.1190476190477</v>
      </c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17094.798789554454</v>
      </c>
      <c r="E30" s="484">
        <f>IF(+I14&lt;F29,I14,D30)</f>
        <v>566.58974358974353</v>
      </c>
      <c r="F30" s="485">
        <f t="shared" ref="F30:F48" si="19">+D30-E30</f>
        <v>16528.209045964712</v>
      </c>
      <c r="G30" s="486">
        <f t="shared" ref="G30:G49" si="20">ROUND(I$12*F30,0)+E30</f>
        <v>2539.5897435897436</v>
      </c>
      <c r="H30" s="455">
        <f t="shared" ref="H30:H49" si="21">ROUND(I$13*F30,0)+E30</f>
        <v>2539.5897435897436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16528.209045964712</v>
      </c>
      <c r="E31" s="484">
        <f>IF(+I14&lt;F30,I14,D31)</f>
        <v>566.58974358974353</v>
      </c>
      <c r="F31" s="485">
        <f t="shared" si="19"/>
        <v>15961.619302374967</v>
      </c>
      <c r="G31" s="486">
        <f t="shared" si="20"/>
        <v>2471.5897435897436</v>
      </c>
      <c r="H31" s="455">
        <f t="shared" si="21"/>
        <v>2471.5897435897436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15961.619302374967</v>
      </c>
      <c r="E32" s="484">
        <f>IF(+I14&lt;F31,I14,D32)</f>
        <v>566.58974358974353</v>
      </c>
      <c r="F32" s="485">
        <f t="shared" si="19"/>
        <v>15395.029558785223</v>
      </c>
      <c r="G32" s="486">
        <f t="shared" si="20"/>
        <v>2404.5897435897436</v>
      </c>
      <c r="H32" s="455">
        <f t="shared" si="21"/>
        <v>2404.5897435897436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15395.029558785223</v>
      </c>
      <c r="E33" s="484">
        <f>IF(+I14&lt;F32,I14,D33)</f>
        <v>566.58974358974353</v>
      </c>
      <c r="F33" s="485">
        <f t="shared" si="19"/>
        <v>14828.439815195479</v>
      </c>
      <c r="G33" s="486">
        <f t="shared" si="20"/>
        <v>2336.5897435897436</v>
      </c>
      <c r="H33" s="455">
        <f t="shared" si="21"/>
        <v>2336.5897435897436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14828.439815195479</v>
      </c>
      <c r="E34" s="484">
        <f>IF(+I14&lt;F33,I14,D34)</f>
        <v>566.58974358974353</v>
      </c>
      <c r="F34" s="485">
        <f t="shared" si="19"/>
        <v>14261.850071605735</v>
      </c>
      <c r="G34" s="486">
        <f t="shared" si="20"/>
        <v>2268.5897435897436</v>
      </c>
      <c r="H34" s="455">
        <f t="shared" si="21"/>
        <v>2268.5897435897436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14261.850071605735</v>
      </c>
      <c r="E35" s="484">
        <f>IF(+I14&lt;F34,I14,D35)</f>
        <v>566.58974358974353</v>
      </c>
      <c r="F35" s="485">
        <f t="shared" si="19"/>
        <v>13695.260328015991</v>
      </c>
      <c r="G35" s="486">
        <f t="shared" si="20"/>
        <v>2201.5897435897436</v>
      </c>
      <c r="H35" s="455">
        <f t="shared" si="21"/>
        <v>2201.5897435897436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13695.260328015991</v>
      </c>
      <c r="E36" s="484">
        <f>IF(+I14&lt;F35,I14,D36)</f>
        <v>566.58974358974353</v>
      </c>
      <c r="F36" s="485">
        <f t="shared" si="19"/>
        <v>13128.670584426247</v>
      </c>
      <c r="G36" s="486">
        <f t="shared" si="20"/>
        <v>2133.5897435897436</v>
      </c>
      <c r="H36" s="455">
        <f t="shared" si="21"/>
        <v>2133.5897435897436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13128.670584426247</v>
      </c>
      <c r="E37" s="484">
        <f>IF(+I14&lt;F36,I14,D37)</f>
        <v>566.58974358974353</v>
      </c>
      <c r="F37" s="485">
        <f t="shared" si="19"/>
        <v>12562.080840836503</v>
      </c>
      <c r="G37" s="486">
        <f t="shared" si="20"/>
        <v>2065.5897435897436</v>
      </c>
      <c r="H37" s="455">
        <f t="shared" si="21"/>
        <v>2065.5897435897436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12562.080840836503</v>
      </c>
      <c r="E38" s="484">
        <f>IF(+I14&lt;F37,I14,D38)</f>
        <v>566.58974358974353</v>
      </c>
      <c r="F38" s="485">
        <f t="shared" si="19"/>
        <v>11995.491097246759</v>
      </c>
      <c r="G38" s="486">
        <f t="shared" si="20"/>
        <v>1998.5897435897436</v>
      </c>
      <c r="H38" s="455">
        <f t="shared" si="21"/>
        <v>1998.5897435897436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11995.491097246759</v>
      </c>
      <c r="E39" s="484">
        <f>IF(+I14&lt;F38,I14,D39)</f>
        <v>566.58974358974353</v>
      </c>
      <c r="F39" s="485">
        <f t="shared" si="19"/>
        <v>11428.901353657015</v>
      </c>
      <c r="G39" s="486">
        <f t="shared" si="20"/>
        <v>1930.5897435897436</v>
      </c>
      <c r="H39" s="455">
        <f t="shared" si="21"/>
        <v>1930.5897435897436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11428.901353657015</v>
      </c>
      <c r="E40" s="484">
        <f>IF(+I14&lt;F39,I14,D40)</f>
        <v>566.58974358974353</v>
      </c>
      <c r="F40" s="485">
        <f t="shared" si="19"/>
        <v>10862.311610067271</v>
      </c>
      <c r="G40" s="486">
        <f t="shared" si="20"/>
        <v>1863.5897435897436</v>
      </c>
      <c r="H40" s="455">
        <f t="shared" si="21"/>
        <v>1863.5897435897436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10862.311610067271</v>
      </c>
      <c r="E41" s="484">
        <f>IF(+I14&lt;F40,I14,D41)</f>
        <v>566.58974358974353</v>
      </c>
      <c r="F41" s="485">
        <f t="shared" si="19"/>
        <v>10295.721866477526</v>
      </c>
      <c r="G41" s="486">
        <f t="shared" si="20"/>
        <v>1795.5897435897436</v>
      </c>
      <c r="H41" s="455">
        <f t="shared" si="21"/>
        <v>1795.5897435897436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10295.721866477526</v>
      </c>
      <c r="E42" s="484">
        <f>IF(+I14&lt;F41,I14,D42)</f>
        <v>566.58974358974353</v>
      </c>
      <c r="F42" s="485">
        <f t="shared" si="19"/>
        <v>9729.1321228877823</v>
      </c>
      <c r="G42" s="486">
        <f t="shared" si="20"/>
        <v>1727.5897435897436</v>
      </c>
      <c r="H42" s="455">
        <f t="shared" si="21"/>
        <v>1727.5897435897436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9729.1321228877823</v>
      </c>
      <c r="E43" s="484">
        <f>IF(+I14&lt;F42,I14,D43)</f>
        <v>566.58974358974353</v>
      </c>
      <c r="F43" s="485">
        <f t="shared" si="19"/>
        <v>9162.5423792980382</v>
      </c>
      <c r="G43" s="486">
        <f t="shared" si="20"/>
        <v>1660.5897435897436</v>
      </c>
      <c r="H43" s="455">
        <f t="shared" si="21"/>
        <v>1660.5897435897436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9162.5423792980382</v>
      </c>
      <c r="E44" s="484">
        <f>IF(+I14&lt;F43,I14,D44)</f>
        <v>566.58974358974353</v>
      </c>
      <c r="F44" s="485">
        <f t="shared" si="19"/>
        <v>8595.9526357082941</v>
      </c>
      <c r="G44" s="486">
        <f t="shared" si="20"/>
        <v>1592.5897435897436</v>
      </c>
      <c r="H44" s="455">
        <f t="shared" si="21"/>
        <v>1592.5897435897436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8595.9526357082941</v>
      </c>
      <c r="E45" s="484">
        <f>IF(+I14&lt;F44,I14,D45)</f>
        <v>566.58974358974353</v>
      </c>
      <c r="F45" s="485">
        <f t="shared" si="19"/>
        <v>8029.3628921185509</v>
      </c>
      <c r="G45" s="486">
        <f t="shared" si="20"/>
        <v>1524.5897435897436</v>
      </c>
      <c r="H45" s="455">
        <f t="shared" si="21"/>
        <v>1524.5897435897436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8029.3628921185509</v>
      </c>
      <c r="E46" s="484">
        <f>IF(+I14&lt;F45,I14,D46)</f>
        <v>566.58974358974353</v>
      </c>
      <c r="F46" s="485">
        <f t="shared" si="19"/>
        <v>7462.7731485288077</v>
      </c>
      <c r="G46" s="486">
        <f t="shared" si="20"/>
        <v>1457.5897435897436</v>
      </c>
      <c r="H46" s="455">
        <f t="shared" si="21"/>
        <v>1457.5897435897436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7462.7731485288077</v>
      </c>
      <c r="E47" s="484">
        <f>IF(+I14&lt;F46,I14,D47)</f>
        <v>566.58974358974353</v>
      </c>
      <c r="F47" s="485">
        <f t="shared" si="19"/>
        <v>6896.1834049390645</v>
      </c>
      <c r="G47" s="486">
        <f t="shared" si="20"/>
        <v>1389.5897435897436</v>
      </c>
      <c r="H47" s="455">
        <f t="shared" si="21"/>
        <v>1389.5897435897436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6896.1834049390645</v>
      </c>
      <c r="E48" s="484">
        <f>IF(+I14&lt;F47,I14,D48)</f>
        <v>566.58974358974353</v>
      </c>
      <c r="F48" s="485">
        <f t="shared" si="19"/>
        <v>6329.5936613493213</v>
      </c>
      <c r="G48" s="486">
        <f t="shared" si="20"/>
        <v>1321.5897435897436</v>
      </c>
      <c r="H48" s="455">
        <f t="shared" si="21"/>
        <v>1321.5897435897436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6329.5936613493213</v>
      </c>
      <c r="E49" s="484">
        <f>IF(+I14&lt;F48,I14,D49)</f>
        <v>566.58974358974353</v>
      </c>
      <c r="F49" s="485">
        <f t="shared" ref="F49:F72" si="22">+D49-E49</f>
        <v>5763.0039177595781</v>
      </c>
      <c r="G49" s="486">
        <f t="shared" si="20"/>
        <v>1254.5897435897436</v>
      </c>
      <c r="H49" s="455">
        <f t="shared" si="21"/>
        <v>1254.5897435897436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2"/>
    </row>
    <row r="50" spans="2:16" ht="12.5">
      <c r="B50" s="160" t="str">
        <f t="shared" ref="B50:B72" si="27">IF(D50=F49,"","IU")</f>
        <v/>
      </c>
      <c r="C50" s="472">
        <f>IF(D11="","-",+C49+1)</f>
        <v>2043</v>
      </c>
      <c r="D50" s="485">
        <f>IF(F49+SUM(E$17:E49)=D$10,F49,D$10-SUM(E$17:E49))</f>
        <v>5763.0039177595781</v>
      </c>
      <c r="E50" s="484">
        <f>IF(+I14&lt;F49,I14,D50)</f>
        <v>566.58974358974353</v>
      </c>
      <c r="F50" s="485">
        <f t="shared" si="22"/>
        <v>5196.414174169835</v>
      </c>
      <c r="G50" s="486">
        <f t="shared" ref="G50:G72" si="28">ROUND(I$12*F50,0)+E50</f>
        <v>1186.5897435897436</v>
      </c>
      <c r="H50" s="455">
        <f t="shared" ref="H50:H72" si="29">ROUND(I$13*F50,0)+E50</f>
        <v>1186.5897435897436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2"/>
    </row>
    <row r="51" spans="2:16" ht="12.5">
      <c r="B51" s="160" t="str">
        <f t="shared" si="27"/>
        <v/>
      </c>
      <c r="C51" s="472">
        <f>IF(D11="","-",+C50+1)</f>
        <v>2044</v>
      </c>
      <c r="D51" s="485">
        <f>IF(F50+SUM(E$17:E50)=D$10,F50,D$10-SUM(E$17:E50))</f>
        <v>5196.414174169835</v>
      </c>
      <c r="E51" s="484">
        <f>IF(+I14&lt;F50,I14,D51)</f>
        <v>566.58974358974353</v>
      </c>
      <c r="F51" s="485">
        <f t="shared" si="22"/>
        <v>4629.8244305800918</v>
      </c>
      <c r="G51" s="486">
        <f t="shared" si="28"/>
        <v>1119.5897435897436</v>
      </c>
      <c r="H51" s="455">
        <f t="shared" si="29"/>
        <v>1119.5897435897436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2"/>
    </row>
    <row r="52" spans="2:16" ht="12.5">
      <c r="B52" s="160" t="str">
        <f t="shared" si="27"/>
        <v/>
      </c>
      <c r="C52" s="472">
        <f>IF(D11="","-",+C51+1)</f>
        <v>2045</v>
      </c>
      <c r="D52" s="485">
        <f>IF(F51+SUM(E$17:E51)=D$10,F51,D$10-SUM(E$17:E51))</f>
        <v>4629.8244305800918</v>
      </c>
      <c r="E52" s="484">
        <f>IF(+I14&lt;F51,I14,D52)</f>
        <v>566.58974358974353</v>
      </c>
      <c r="F52" s="485">
        <f t="shared" si="22"/>
        <v>4063.2346869903481</v>
      </c>
      <c r="G52" s="486">
        <f t="shared" si="28"/>
        <v>1051.5897435897436</v>
      </c>
      <c r="H52" s="455">
        <f t="shared" si="29"/>
        <v>1051.5897435897436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2"/>
    </row>
    <row r="53" spans="2:16" ht="12.5">
      <c r="B53" s="160" t="str">
        <f t="shared" si="27"/>
        <v/>
      </c>
      <c r="C53" s="472">
        <f>IF(D11="","-",+C52+1)</f>
        <v>2046</v>
      </c>
      <c r="D53" s="485">
        <f>IF(F52+SUM(E$17:E52)=D$10,F52,D$10-SUM(E$17:E52))</f>
        <v>4063.2346869903481</v>
      </c>
      <c r="E53" s="484">
        <f>IF(+I14&lt;F52,I14,D53)</f>
        <v>566.58974358974353</v>
      </c>
      <c r="F53" s="485">
        <f t="shared" si="22"/>
        <v>3496.6449434006045</v>
      </c>
      <c r="G53" s="486">
        <f t="shared" si="28"/>
        <v>983.58974358974353</v>
      </c>
      <c r="H53" s="455">
        <f t="shared" si="29"/>
        <v>983.58974358974353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2"/>
    </row>
    <row r="54" spans="2:16" ht="12.5">
      <c r="B54" s="160" t="str">
        <f t="shared" si="27"/>
        <v/>
      </c>
      <c r="C54" s="472">
        <f>IF(D11="","-",+C53+1)</f>
        <v>2047</v>
      </c>
      <c r="D54" s="485">
        <f>IF(F53+SUM(E$17:E53)=D$10,F53,D$10-SUM(E$17:E53))</f>
        <v>3496.6449434006045</v>
      </c>
      <c r="E54" s="484">
        <f>IF(+I14&lt;F53,I14,D54)</f>
        <v>566.58974358974353</v>
      </c>
      <c r="F54" s="485">
        <f t="shared" si="22"/>
        <v>2930.0551998108608</v>
      </c>
      <c r="G54" s="486">
        <f t="shared" si="28"/>
        <v>916.58974358974353</v>
      </c>
      <c r="H54" s="455">
        <f t="shared" si="29"/>
        <v>916.58974358974353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2"/>
    </row>
    <row r="55" spans="2:16" ht="12.5">
      <c r="B55" s="160" t="str">
        <f t="shared" si="27"/>
        <v/>
      </c>
      <c r="C55" s="472">
        <f>IF(D11="","-",+C54+1)</f>
        <v>2048</v>
      </c>
      <c r="D55" s="485">
        <f>IF(F54+SUM(E$17:E54)=D$10,F54,D$10-SUM(E$17:E54))</f>
        <v>2930.0551998108608</v>
      </c>
      <c r="E55" s="484">
        <f>IF(+I14&lt;F54,I14,D55)</f>
        <v>566.58974358974353</v>
      </c>
      <c r="F55" s="485">
        <f t="shared" si="22"/>
        <v>2363.4654562211172</v>
      </c>
      <c r="G55" s="486">
        <f t="shared" si="28"/>
        <v>848.58974358974353</v>
      </c>
      <c r="H55" s="455">
        <f t="shared" si="29"/>
        <v>848.58974358974353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2"/>
    </row>
    <row r="56" spans="2:16" ht="12.5">
      <c r="B56" s="160" t="str">
        <f t="shared" si="27"/>
        <v/>
      </c>
      <c r="C56" s="472">
        <f>IF(D11="","-",+C55+1)</f>
        <v>2049</v>
      </c>
      <c r="D56" s="485">
        <f>IF(F55+SUM(E$17:E55)=D$10,F55,D$10-SUM(E$17:E55))</f>
        <v>2363.4654562211172</v>
      </c>
      <c r="E56" s="484">
        <f>IF(+I14&lt;F55,I14,D56)</f>
        <v>566.58974358974353</v>
      </c>
      <c r="F56" s="485">
        <f t="shared" si="22"/>
        <v>1796.8757126313735</v>
      </c>
      <c r="G56" s="486">
        <f t="shared" si="28"/>
        <v>780.58974358974353</v>
      </c>
      <c r="H56" s="455">
        <f t="shared" si="29"/>
        <v>780.58974358974353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2"/>
    </row>
    <row r="57" spans="2:16" ht="12.5">
      <c r="B57" s="160" t="str">
        <f t="shared" si="27"/>
        <v/>
      </c>
      <c r="C57" s="472">
        <f>IF(D11="","-",+C56+1)</f>
        <v>2050</v>
      </c>
      <c r="D57" s="485">
        <f>IF(F56+SUM(E$17:E56)=D$10,F56,D$10-SUM(E$17:E56))</f>
        <v>1796.8757126313735</v>
      </c>
      <c r="E57" s="484">
        <f>IF(+I14&lt;F56,I14,D57)</f>
        <v>566.58974358974353</v>
      </c>
      <c r="F57" s="485">
        <f t="shared" si="22"/>
        <v>1230.2859690416299</v>
      </c>
      <c r="G57" s="486">
        <f t="shared" si="28"/>
        <v>713.58974358974353</v>
      </c>
      <c r="H57" s="455">
        <f t="shared" si="29"/>
        <v>713.58974358974353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2"/>
    </row>
    <row r="58" spans="2:16" ht="12.5">
      <c r="B58" s="160" t="str">
        <f t="shared" si="27"/>
        <v/>
      </c>
      <c r="C58" s="472">
        <f>IF(D11="","-",+C57+1)</f>
        <v>2051</v>
      </c>
      <c r="D58" s="485">
        <f>IF(F57+SUM(E$17:E57)=D$10,F57,D$10-SUM(E$17:E57))</f>
        <v>1230.2859690416299</v>
      </c>
      <c r="E58" s="484">
        <f>IF(+I14&lt;F57,I14,D58)</f>
        <v>566.58974358974353</v>
      </c>
      <c r="F58" s="485">
        <f t="shared" si="22"/>
        <v>663.69622545188633</v>
      </c>
      <c r="G58" s="486">
        <f t="shared" si="28"/>
        <v>645.58974358974353</v>
      </c>
      <c r="H58" s="455">
        <f t="shared" si="29"/>
        <v>645.58974358974353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2"/>
    </row>
    <row r="59" spans="2:16" ht="12.5">
      <c r="B59" s="160" t="str">
        <f t="shared" si="27"/>
        <v/>
      </c>
      <c r="C59" s="472">
        <f>IF(D11="","-",+C58+1)</f>
        <v>2052</v>
      </c>
      <c r="D59" s="485">
        <f>IF(F58+SUM(E$17:E58)=D$10,F58,D$10-SUM(E$17:E58))</f>
        <v>663.69622545188633</v>
      </c>
      <c r="E59" s="484">
        <f>IF(+I14&lt;F58,I14,D59)</f>
        <v>566.58974358974353</v>
      </c>
      <c r="F59" s="485">
        <f t="shared" si="22"/>
        <v>97.1064818621428</v>
      </c>
      <c r="G59" s="486">
        <f t="shared" si="28"/>
        <v>578.58974358974353</v>
      </c>
      <c r="H59" s="455">
        <f t="shared" si="29"/>
        <v>578.58974358974353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2"/>
    </row>
    <row r="60" spans="2:16" ht="12.5">
      <c r="B60" s="160" t="str">
        <f t="shared" si="27"/>
        <v/>
      </c>
      <c r="C60" s="472">
        <f>IF(D11="","-",+C59+1)</f>
        <v>2053</v>
      </c>
      <c r="D60" s="485">
        <f>IF(F59+SUM(E$17:E59)=D$10,F59,D$10-SUM(E$17:E59))</f>
        <v>97.1064818621428</v>
      </c>
      <c r="E60" s="484">
        <f>IF(+I14&lt;F59,I14,D60)</f>
        <v>97.1064818621428</v>
      </c>
      <c r="F60" s="485">
        <f t="shared" si="22"/>
        <v>0</v>
      </c>
      <c r="G60" s="486">
        <f t="shared" si="28"/>
        <v>97.1064818621428</v>
      </c>
      <c r="H60" s="455">
        <f t="shared" si="29"/>
        <v>97.1064818621428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2"/>
    </row>
    <row r="61" spans="2:16" ht="12.5">
      <c r="B61" s="160" t="str">
        <f t="shared" si="27"/>
        <v/>
      </c>
      <c r="C61" s="472">
        <f>IF(D11="","-",+C60+1)</f>
        <v>2054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2"/>
        <v>0</v>
      </c>
      <c r="G61" s="488">
        <f t="shared" si="28"/>
        <v>0</v>
      </c>
      <c r="H61" s="455">
        <f t="shared" si="29"/>
        <v>0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2"/>
    </row>
    <row r="62" spans="2:16" ht="12.5">
      <c r="B62" s="160" t="str">
        <f t="shared" si="27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2"/>
        <v>0</v>
      </c>
      <c r="G62" s="488">
        <f t="shared" si="28"/>
        <v>0</v>
      </c>
      <c r="H62" s="455">
        <f t="shared" si="29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2"/>
    </row>
    <row r="63" spans="2:16" ht="12.5">
      <c r="B63" s="160" t="str">
        <f t="shared" si="27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2"/>
        <v>0</v>
      </c>
      <c r="G63" s="488">
        <f t="shared" si="28"/>
        <v>0</v>
      </c>
      <c r="H63" s="455">
        <f t="shared" si="29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2"/>
    </row>
    <row r="64" spans="2:16" ht="12.5">
      <c r="B64" s="160" t="str">
        <f t="shared" si="27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2"/>
        <v>0</v>
      </c>
      <c r="G64" s="488">
        <f t="shared" si="28"/>
        <v>0</v>
      </c>
      <c r="H64" s="455">
        <f t="shared" si="29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2"/>
    </row>
    <row r="65" spans="2:16" ht="12.5">
      <c r="B65" s="160" t="str">
        <f t="shared" si="27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2"/>
        <v>0</v>
      </c>
      <c r="G65" s="488">
        <f t="shared" si="28"/>
        <v>0</v>
      </c>
      <c r="H65" s="455">
        <f t="shared" si="29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2"/>
    </row>
    <row r="66" spans="2:16" ht="12.5">
      <c r="B66" s="160" t="str">
        <f t="shared" si="27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2"/>
        <v>0</v>
      </c>
      <c r="G66" s="488">
        <f t="shared" si="28"/>
        <v>0</v>
      </c>
      <c r="H66" s="455">
        <f t="shared" si="29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2"/>
    </row>
    <row r="67" spans="2:16" ht="12.5">
      <c r="B67" s="160" t="str">
        <f t="shared" si="27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2"/>
        <v>0</v>
      </c>
      <c r="G67" s="488">
        <f t="shared" si="28"/>
        <v>0</v>
      </c>
      <c r="H67" s="455">
        <f t="shared" si="29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2"/>
    </row>
    <row r="68" spans="2:16" ht="12.5">
      <c r="B68" s="160" t="str">
        <f t="shared" si="27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2"/>
        <v>0</v>
      </c>
      <c r="G68" s="488">
        <f t="shared" si="28"/>
        <v>0</v>
      </c>
      <c r="H68" s="455">
        <f t="shared" si="29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2"/>
    </row>
    <row r="69" spans="2:16" ht="12.5">
      <c r="B69" s="160" t="str">
        <f t="shared" si="27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2"/>
        <v>0</v>
      </c>
      <c r="G69" s="488">
        <f t="shared" si="28"/>
        <v>0</v>
      </c>
      <c r="H69" s="455">
        <f t="shared" si="29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2"/>
    </row>
    <row r="70" spans="2:16" ht="12.5">
      <c r="B70" s="160" t="str">
        <f t="shared" si="27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2"/>
        <v>0</v>
      </c>
      <c r="G70" s="488">
        <f t="shared" si="28"/>
        <v>0</v>
      </c>
      <c r="H70" s="455">
        <f t="shared" si="29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2"/>
    </row>
    <row r="71" spans="2:16" ht="12.5">
      <c r="B71" s="160" t="str">
        <f t="shared" si="27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2"/>
        <v>0</v>
      </c>
      <c r="G71" s="488">
        <f t="shared" si="28"/>
        <v>0</v>
      </c>
      <c r="H71" s="455">
        <f t="shared" si="29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2"/>
    </row>
    <row r="72" spans="2:16" ht="13" thickBot="1">
      <c r="B72" s="160" t="str">
        <f t="shared" si="27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2"/>
        <v>0</v>
      </c>
      <c r="G72" s="492">
        <f t="shared" si="28"/>
        <v>0</v>
      </c>
      <c r="H72" s="435">
        <f t="shared" si="29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2"/>
    </row>
    <row r="73" spans="2:16" ht="12.5">
      <c r="C73" s="346" t="s">
        <v>77</v>
      </c>
      <c r="D73" s="347"/>
      <c r="E73" s="347">
        <f>SUM(E17:E72)</f>
        <v>22096.999999999989</v>
      </c>
      <c r="F73" s="347"/>
      <c r="G73" s="347">
        <f>SUM(G17:G72)</f>
        <v>79047.98994636217</v>
      </c>
      <c r="H73" s="347">
        <f>SUM(H17:H72)</f>
        <v>79047.98994636217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13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2413.8837209302328</v>
      </c>
      <c r="N87" s="508">
        <f>IF(J92&lt;D11,0,VLOOKUP(J92,C17:O72,11))</f>
        <v>2413.8837209302328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2565.9910222694648</v>
      </c>
      <c r="N88" s="512">
        <f>IF(J92&lt;D11,0,VLOOKUP(J92,C99:P154,7))</f>
        <v>2565.9910222694648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CoffeyvilleT to Dearing 138 kv Rebuild - 1.1 mi*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152.10730133923198</v>
      </c>
      <c r="N89" s="517">
        <f>+N88-N87</f>
        <v>152.10730133923198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TP2008013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22097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539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590">
        <f>D93</f>
        <v>2010</v>
      </c>
      <c r="D99" s="591">
        <v>0</v>
      </c>
      <c r="E99" s="592">
        <v>0</v>
      </c>
      <c r="F99" s="592">
        <v>0</v>
      </c>
      <c r="G99" s="592">
        <v>0</v>
      </c>
      <c r="H99" s="593">
        <v>0</v>
      </c>
      <c r="I99" s="592">
        <v>0</v>
      </c>
      <c r="J99" s="594">
        <v>0</v>
      </c>
      <c r="K99" s="478"/>
      <c r="L99" s="567">
        <f t="shared" ref="L99:L104" si="30">H99</f>
        <v>0</v>
      </c>
      <c r="M99" s="568">
        <f t="shared" ref="M99:M104" si="31">IF(L99&lt;&gt;0,+H99-L99,0)</f>
        <v>0</v>
      </c>
      <c r="N99" s="567">
        <f t="shared" ref="N99:N104" si="32">I99</f>
        <v>0</v>
      </c>
      <c r="O99" s="477">
        <f t="shared" ref="O99:O104" si="33">IF(N99&lt;&gt;0,+I99-N99,0)</f>
        <v>0</v>
      </c>
      <c r="P99" s="477">
        <f t="shared" ref="P99:P104" si="34">+O99-M99</f>
        <v>0</v>
      </c>
    </row>
    <row r="100" spans="1:16" ht="12.5">
      <c r="C100" s="472">
        <f>IF(D91="","-",+C99+1)</f>
        <v>2011</v>
      </c>
      <c r="D100" s="595">
        <v>0</v>
      </c>
      <c r="E100" s="596">
        <v>0</v>
      </c>
      <c r="F100" s="596">
        <v>0</v>
      </c>
      <c r="G100" s="596">
        <v>0</v>
      </c>
      <c r="H100" s="597">
        <v>0</v>
      </c>
      <c r="I100" s="596">
        <v>0</v>
      </c>
      <c r="J100" s="598">
        <v>0</v>
      </c>
      <c r="K100" s="478"/>
      <c r="L100" s="540">
        <f t="shared" si="30"/>
        <v>0</v>
      </c>
      <c r="M100" s="541">
        <f t="shared" si="31"/>
        <v>0</v>
      </c>
      <c r="N100" s="540">
        <f t="shared" si="32"/>
        <v>0</v>
      </c>
      <c r="O100" s="478">
        <f t="shared" si="33"/>
        <v>0</v>
      </c>
      <c r="P100" s="478">
        <f t="shared" si="34"/>
        <v>0</v>
      </c>
    </row>
    <row r="101" spans="1:16" ht="12.5">
      <c r="C101" s="472">
        <f>IF(D92="","-",+C100+1)</f>
        <v>2012</v>
      </c>
      <c r="D101" s="578">
        <v>22097</v>
      </c>
      <c r="E101" s="579">
        <v>212.5</v>
      </c>
      <c r="F101" s="580">
        <v>21884.5</v>
      </c>
      <c r="G101" s="580">
        <v>21990.75</v>
      </c>
      <c r="H101" s="582">
        <v>3375.9899363381005</v>
      </c>
      <c r="I101" s="583">
        <v>3375.9899363381005</v>
      </c>
      <c r="J101" s="478">
        <v>0</v>
      </c>
      <c r="K101" s="478"/>
      <c r="L101" s="540">
        <f t="shared" si="30"/>
        <v>3375.9899363381005</v>
      </c>
      <c r="M101" s="541">
        <f t="shared" si="31"/>
        <v>0</v>
      </c>
      <c r="N101" s="540">
        <f t="shared" si="32"/>
        <v>3375.9899363381005</v>
      </c>
      <c r="O101" s="478">
        <f t="shared" si="33"/>
        <v>0</v>
      </c>
      <c r="P101" s="478">
        <f t="shared" si="34"/>
        <v>0</v>
      </c>
    </row>
    <row r="102" spans="1:16" ht="12.5">
      <c r="B102" s="160" t="str">
        <f t="shared" ref="B102:B133" si="35">IF(D102=F101,"","IU")</f>
        <v/>
      </c>
      <c r="C102" s="472">
        <f>IF(D93="","-",+C101+1)</f>
        <v>2013</v>
      </c>
      <c r="D102" s="578">
        <v>21884.5</v>
      </c>
      <c r="E102" s="579">
        <v>425</v>
      </c>
      <c r="F102" s="580">
        <v>21459.5</v>
      </c>
      <c r="G102" s="580">
        <v>21672</v>
      </c>
      <c r="H102" s="582">
        <v>3544.458879858515</v>
      </c>
      <c r="I102" s="583">
        <v>3544.458879858515</v>
      </c>
      <c r="J102" s="478">
        <v>0</v>
      </c>
      <c r="K102" s="478"/>
      <c r="L102" s="540">
        <f t="shared" si="30"/>
        <v>3544.458879858515</v>
      </c>
      <c r="M102" s="541">
        <f t="shared" si="31"/>
        <v>0</v>
      </c>
      <c r="N102" s="540">
        <f t="shared" si="32"/>
        <v>3544.458879858515</v>
      </c>
      <c r="O102" s="478">
        <f t="shared" si="33"/>
        <v>0</v>
      </c>
      <c r="P102" s="478">
        <f t="shared" si="34"/>
        <v>0</v>
      </c>
    </row>
    <row r="103" spans="1:16" ht="12.5">
      <c r="B103" s="160" t="str">
        <f t="shared" si="35"/>
        <v/>
      </c>
      <c r="C103" s="472">
        <f>IF(D93="","-",+C102+1)</f>
        <v>2014</v>
      </c>
      <c r="D103" s="578">
        <v>21459.5</v>
      </c>
      <c r="E103" s="579">
        <v>425</v>
      </c>
      <c r="F103" s="580">
        <v>21034.5</v>
      </c>
      <c r="G103" s="580">
        <v>21247</v>
      </c>
      <c r="H103" s="582">
        <v>3412.2413474199548</v>
      </c>
      <c r="I103" s="583">
        <v>3412.2413474199548</v>
      </c>
      <c r="J103" s="478">
        <v>0</v>
      </c>
      <c r="K103" s="478"/>
      <c r="L103" s="540">
        <f t="shared" si="30"/>
        <v>3412.2413474199548</v>
      </c>
      <c r="M103" s="541">
        <f t="shared" si="31"/>
        <v>0</v>
      </c>
      <c r="N103" s="540">
        <f t="shared" si="32"/>
        <v>3412.2413474199548</v>
      </c>
      <c r="O103" s="478">
        <f t="shared" si="33"/>
        <v>0</v>
      </c>
      <c r="P103" s="478">
        <f t="shared" si="34"/>
        <v>0</v>
      </c>
    </row>
    <row r="104" spans="1:16" ht="12.5">
      <c r="B104" s="160" t="str">
        <f t="shared" si="35"/>
        <v/>
      </c>
      <c r="C104" s="472">
        <f>IF(D93="","-",+C103+1)</f>
        <v>2015</v>
      </c>
      <c r="D104" s="578">
        <v>21034.5</v>
      </c>
      <c r="E104" s="579">
        <v>425</v>
      </c>
      <c r="F104" s="580">
        <v>20609.5</v>
      </c>
      <c r="G104" s="580">
        <v>20822</v>
      </c>
      <c r="H104" s="582">
        <v>3265.9944828697971</v>
      </c>
      <c r="I104" s="583">
        <v>3265.9944828697971</v>
      </c>
      <c r="J104" s="478">
        <f t="shared" ref="J104:J132" si="36">+I104-H104</f>
        <v>0</v>
      </c>
      <c r="K104" s="478"/>
      <c r="L104" s="540">
        <f t="shared" si="30"/>
        <v>3265.9944828697971</v>
      </c>
      <c r="M104" s="541">
        <f t="shared" si="31"/>
        <v>0</v>
      </c>
      <c r="N104" s="540">
        <f t="shared" si="32"/>
        <v>3265.9944828697971</v>
      </c>
      <c r="O104" s="478">
        <f t="shared" si="33"/>
        <v>0</v>
      </c>
      <c r="P104" s="478">
        <f t="shared" si="34"/>
        <v>0</v>
      </c>
    </row>
    <row r="105" spans="1:16" ht="12.5">
      <c r="B105" s="160" t="str">
        <f t="shared" si="35"/>
        <v/>
      </c>
      <c r="C105" s="472">
        <f>IF(D93="","-",+C104+1)</f>
        <v>2016</v>
      </c>
      <c r="D105" s="578">
        <v>20609.5</v>
      </c>
      <c r="E105" s="579">
        <v>480</v>
      </c>
      <c r="F105" s="580">
        <v>20129.5</v>
      </c>
      <c r="G105" s="580">
        <v>20369.5</v>
      </c>
      <c r="H105" s="582">
        <v>3105.9493466960757</v>
      </c>
      <c r="I105" s="583">
        <v>3105.9493466960757</v>
      </c>
      <c r="J105" s="478">
        <f t="shared" si="36"/>
        <v>0</v>
      </c>
      <c r="K105" s="478"/>
      <c r="L105" s="540">
        <f>H105</f>
        <v>3105.9493466960757</v>
      </c>
      <c r="M105" s="541">
        <f>IF(L105&lt;&gt;0,+H105-L105,0)</f>
        <v>0</v>
      </c>
      <c r="N105" s="540">
        <f>I105</f>
        <v>3105.9493466960757</v>
      </c>
      <c r="O105" s="478">
        <f>IF(N105&lt;&gt;0,+I105-N105,0)</f>
        <v>0</v>
      </c>
      <c r="P105" s="478">
        <f>+O105-M105</f>
        <v>0</v>
      </c>
    </row>
    <row r="106" spans="1:16" ht="12.5">
      <c r="B106" s="160" t="str">
        <f t="shared" si="35"/>
        <v/>
      </c>
      <c r="C106" s="472">
        <f>IF(D93="","-",+C105+1)</f>
        <v>2017</v>
      </c>
      <c r="D106" s="578">
        <v>20129.5</v>
      </c>
      <c r="E106" s="579">
        <v>480</v>
      </c>
      <c r="F106" s="580">
        <v>19649.5</v>
      </c>
      <c r="G106" s="580">
        <v>19889.5</v>
      </c>
      <c r="H106" s="582">
        <v>3003.0332263920673</v>
      </c>
      <c r="I106" s="583">
        <v>3003.0332263920673</v>
      </c>
      <c r="J106" s="478">
        <f t="shared" si="36"/>
        <v>0</v>
      </c>
      <c r="K106" s="478"/>
      <c r="L106" s="540">
        <f>H106</f>
        <v>3003.0332263920673</v>
      </c>
      <c r="M106" s="541">
        <f>IF(L106&lt;&gt;0,+H106-L106,0)</f>
        <v>0</v>
      </c>
      <c r="N106" s="540">
        <f>I106</f>
        <v>3003.0332263920673</v>
      </c>
      <c r="O106" s="478">
        <f>IF(N106&lt;&gt;0,+I106-N106,0)</f>
        <v>0</v>
      </c>
      <c r="P106" s="478">
        <f>+O106-M106</f>
        <v>0</v>
      </c>
    </row>
    <row r="107" spans="1:16" ht="12.5">
      <c r="B107" s="160" t="str">
        <f t="shared" si="35"/>
        <v/>
      </c>
      <c r="C107" s="472">
        <f>IF(D93="","-",+C106+1)</f>
        <v>2018</v>
      </c>
      <c r="D107" s="578">
        <v>19649.5</v>
      </c>
      <c r="E107" s="579">
        <v>514</v>
      </c>
      <c r="F107" s="580">
        <v>19135.5</v>
      </c>
      <c r="G107" s="580">
        <v>19392.5</v>
      </c>
      <c r="H107" s="582">
        <v>2506.299479691007</v>
      </c>
      <c r="I107" s="583">
        <v>2506.299479691007</v>
      </c>
      <c r="J107" s="478">
        <f t="shared" si="36"/>
        <v>0</v>
      </c>
      <c r="K107" s="478"/>
      <c r="L107" s="540">
        <f>H107</f>
        <v>2506.299479691007</v>
      </c>
      <c r="M107" s="541">
        <f>IF(L107&lt;&gt;0,+H107-L107,0)</f>
        <v>0</v>
      </c>
      <c r="N107" s="540">
        <f>I107</f>
        <v>2506.299479691007</v>
      </c>
      <c r="O107" s="478">
        <f>IF(N107&lt;&gt;0,+I107-N107,0)</f>
        <v>0</v>
      </c>
      <c r="P107" s="478">
        <f>+O107-M107</f>
        <v>0</v>
      </c>
    </row>
    <row r="108" spans="1:16" ht="12.5">
      <c r="B108" s="160" t="str">
        <f t="shared" si="35"/>
        <v/>
      </c>
      <c r="C108" s="472">
        <f>IF(D93="","-",+C107+1)</f>
        <v>2019</v>
      </c>
      <c r="D108" s="578">
        <v>19135.5</v>
      </c>
      <c r="E108" s="579">
        <v>539</v>
      </c>
      <c r="F108" s="580">
        <v>18596.5</v>
      </c>
      <c r="G108" s="580">
        <v>18866</v>
      </c>
      <c r="H108" s="582">
        <v>2484.3492160371716</v>
      </c>
      <c r="I108" s="583">
        <v>2484.3492160371716</v>
      </c>
      <c r="J108" s="478">
        <f t="shared" si="36"/>
        <v>0</v>
      </c>
      <c r="K108" s="478"/>
      <c r="L108" s="540">
        <f>H108</f>
        <v>2484.3492160371716</v>
      </c>
      <c r="M108" s="541">
        <f>IF(L108&lt;&gt;0,+H108-L108,0)</f>
        <v>0</v>
      </c>
      <c r="N108" s="540">
        <f>I108</f>
        <v>2484.3492160371716</v>
      </c>
      <c r="O108" s="478">
        <f>IF(N108&lt;&gt;0,+I108-N108,0)</f>
        <v>0</v>
      </c>
      <c r="P108" s="478">
        <f t="shared" ref="P108:P109" si="37">+O108-M108</f>
        <v>0</v>
      </c>
    </row>
    <row r="109" spans="1:16" ht="12.5">
      <c r="B109" s="160" t="str">
        <f t="shared" si="35"/>
        <v/>
      </c>
      <c r="C109" s="472">
        <f>IF(D93="","-",+C108+1)</f>
        <v>2020</v>
      </c>
      <c r="D109" s="578">
        <v>18596.5</v>
      </c>
      <c r="E109" s="579">
        <v>514</v>
      </c>
      <c r="F109" s="580">
        <v>18082.5</v>
      </c>
      <c r="G109" s="580">
        <v>18339.5</v>
      </c>
      <c r="H109" s="582">
        <v>2628.4939297021565</v>
      </c>
      <c r="I109" s="583">
        <v>2628.4939297021565</v>
      </c>
      <c r="J109" s="478">
        <f t="shared" si="36"/>
        <v>0</v>
      </c>
      <c r="K109" s="478"/>
      <c r="L109" s="540">
        <f>H109</f>
        <v>2628.4939297021565</v>
      </c>
      <c r="M109" s="541">
        <f>IF(L109&lt;&gt;0,+H109-L109,0)</f>
        <v>0</v>
      </c>
      <c r="N109" s="540">
        <f>I109</f>
        <v>2628.4939297021565</v>
      </c>
      <c r="O109" s="478">
        <f>IF(N109&lt;&gt;0,+I109-N109,0)</f>
        <v>0</v>
      </c>
      <c r="P109" s="478">
        <f t="shared" si="37"/>
        <v>0</v>
      </c>
    </row>
    <row r="110" spans="1:16" ht="12.5">
      <c r="B110" s="160" t="str">
        <f t="shared" si="35"/>
        <v/>
      </c>
      <c r="C110" s="472">
        <f>IF(D93="","-",+C109+1)</f>
        <v>2021</v>
      </c>
      <c r="D110" s="346">
        <f>IF(F109+SUM(E$101:E109)=D$92,F109,D$92-SUM(E$101:E109))</f>
        <v>18082.5</v>
      </c>
      <c r="E110" s="486">
        <f>IF(+J96&lt;F109,J96,D110)</f>
        <v>539</v>
      </c>
      <c r="F110" s="485">
        <f t="shared" ref="F110:F133" si="38">+D110-E110</f>
        <v>17543.5</v>
      </c>
      <c r="G110" s="485">
        <f t="shared" ref="G110:G132" si="39">+(F110+D110)/2</f>
        <v>17813</v>
      </c>
      <c r="H110" s="488">
        <f t="shared" ref="H110:H132" si="40">+J$94*G110+E110</f>
        <v>2565.9910222694648</v>
      </c>
      <c r="I110" s="542">
        <f t="shared" ref="I110:I132" si="41">+J$95*G110+E110</f>
        <v>2565.9910222694648</v>
      </c>
      <c r="J110" s="478">
        <f t="shared" si="36"/>
        <v>0</v>
      </c>
      <c r="K110" s="478"/>
      <c r="L110" s="487"/>
      <c r="M110" s="478">
        <f t="shared" ref="M110:M130" si="42">IF(L110&lt;&gt;0,+H112-L110,0)</f>
        <v>0</v>
      </c>
      <c r="N110" s="487"/>
      <c r="O110" s="478">
        <f t="shared" ref="O110:O154" si="43">IF(N110&lt;&gt;0,+I110-N110,0)</f>
        <v>0</v>
      </c>
      <c r="P110" s="478">
        <f t="shared" ref="P110:P154" si="44">+O110-M110</f>
        <v>0</v>
      </c>
    </row>
    <row r="111" spans="1:16" ht="12.5">
      <c r="B111" s="160" t="str">
        <f t="shared" si="35"/>
        <v/>
      </c>
      <c r="C111" s="472">
        <f>IF(D93="","-",+C110+1)</f>
        <v>2022</v>
      </c>
      <c r="D111" s="346">
        <f>IF(F110+SUM(E$101:E110)=D$92,F110,D$92-SUM(E$101:E110))</f>
        <v>17543.5</v>
      </c>
      <c r="E111" s="486">
        <f>IF(+J96&lt;F110,J96,D111)</f>
        <v>539</v>
      </c>
      <c r="F111" s="485">
        <f t="shared" si="38"/>
        <v>17004.5</v>
      </c>
      <c r="G111" s="485">
        <f t="shared" si="39"/>
        <v>17274</v>
      </c>
      <c r="H111" s="488">
        <f t="shared" si="40"/>
        <v>2504.6567068255058</v>
      </c>
      <c r="I111" s="542">
        <f t="shared" si="41"/>
        <v>2504.6567068255058</v>
      </c>
      <c r="J111" s="478">
        <f t="shared" si="36"/>
        <v>0</v>
      </c>
      <c r="K111" s="478"/>
      <c r="L111" s="487"/>
      <c r="M111" s="478">
        <f t="shared" si="42"/>
        <v>0</v>
      </c>
      <c r="N111" s="487"/>
      <c r="O111" s="478">
        <f t="shared" si="43"/>
        <v>0</v>
      </c>
      <c r="P111" s="478">
        <f t="shared" si="44"/>
        <v>0</v>
      </c>
    </row>
    <row r="112" spans="1:16" ht="12.5">
      <c r="B112" s="160" t="str">
        <f t="shared" si="35"/>
        <v/>
      </c>
      <c r="C112" s="472">
        <f>IF(D93="","-",+C111+1)</f>
        <v>2023</v>
      </c>
      <c r="D112" s="346">
        <f>IF(F111+SUM(E$101:E111)=D$92,F111,D$92-SUM(E$101:E111))</f>
        <v>17004.5</v>
      </c>
      <c r="E112" s="486">
        <f>IF(+J96&lt;F111,J96,D112)</f>
        <v>539</v>
      </c>
      <c r="F112" s="485">
        <f t="shared" si="38"/>
        <v>16465.5</v>
      </c>
      <c r="G112" s="485">
        <f t="shared" si="39"/>
        <v>16735</v>
      </c>
      <c r="H112" s="488">
        <f t="shared" si="40"/>
        <v>2443.3223913815468</v>
      </c>
      <c r="I112" s="542">
        <f t="shared" si="41"/>
        <v>2443.3223913815468</v>
      </c>
      <c r="J112" s="478">
        <f t="shared" si="36"/>
        <v>0</v>
      </c>
      <c r="K112" s="478"/>
      <c r="L112" s="487"/>
      <c r="M112" s="478">
        <f t="shared" si="42"/>
        <v>0</v>
      </c>
      <c r="N112" s="487"/>
      <c r="O112" s="478">
        <f t="shared" si="43"/>
        <v>0</v>
      </c>
      <c r="P112" s="478">
        <f t="shared" si="44"/>
        <v>0</v>
      </c>
    </row>
    <row r="113" spans="2:16" ht="12.5">
      <c r="B113" s="160" t="str">
        <f t="shared" si="35"/>
        <v/>
      </c>
      <c r="C113" s="472">
        <f>IF(D93="","-",+C112+1)</f>
        <v>2024</v>
      </c>
      <c r="D113" s="346">
        <f>IF(F112+SUM(E$101:E112)=D$92,F112,D$92-SUM(E$101:E112))</f>
        <v>16465.5</v>
      </c>
      <c r="E113" s="486">
        <f>IF(+J96&lt;F112,J96,D113)</f>
        <v>539</v>
      </c>
      <c r="F113" s="485">
        <f t="shared" si="38"/>
        <v>15926.5</v>
      </c>
      <c r="G113" s="485">
        <f t="shared" si="39"/>
        <v>16196</v>
      </c>
      <c r="H113" s="488">
        <f t="shared" si="40"/>
        <v>2381.9880759375878</v>
      </c>
      <c r="I113" s="542">
        <f t="shared" si="41"/>
        <v>2381.9880759375878</v>
      </c>
      <c r="J113" s="478">
        <f t="shared" si="36"/>
        <v>0</v>
      </c>
      <c r="K113" s="478"/>
      <c r="L113" s="487"/>
      <c r="M113" s="478">
        <f t="shared" si="42"/>
        <v>0</v>
      </c>
      <c r="N113" s="487"/>
      <c r="O113" s="478">
        <f t="shared" si="43"/>
        <v>0</v>
      </c>
      <c r="P113" s="478">
        <f t="shared" si="44"/>
        <v>0</v>
      </c>
    </row>
    <row r="114" spans="2:16" ht="12.5">
      <c r="B114" s="160" t="str">
        <f t="shared" si="35"/>
        <v/>
      </c>
      <c r="C114" s="472">
        <f>IF(D93="","-",+C113+1)</f>
        <v>2025</v>
      </c>
      <c r="D114" s="346">
        <f>IF(F113+SUM(E$101:E113)=D$92,F113,D$92-SUM(E$101:E113))</f>
        <v>15926.5</v>
      </c>
      <c r="E114" s="486">
        <f>IF(+J96&lt;F113,J96,D114)</f>
        <v>539</v>
      </c>
      <c r="F114" s="485">
        <f t="shared" si="38"/>
        <v>15387.5</v>
      </c>
      <c r="G114" s="485">
        <f t="shared" si="39"/>
        <v>15657</v>
      </c>
      <c r="H114" s="488">
        <f t="shared" si="40"/>
        <v>2320.6537604936289</v>
      </c>
      <c r="I114" s="542">
        <f t="shared" si="41"/>
        <v>2320.6537604936289</v>
      </c>
      <c r="J114" s="478">
        <f t="shared" si="36"/>
        <v>0</v>
      </c>
      <c r="K114" s="478"/>
      <c r="L114" s="487"/>
      <c r="M114" s="478">
        <f t="shared" si="42"/>
        <v>0</v>
      </c>
      <c r="N114" s="487"/>
      <c r="O114" s="478">
        <f t="shared" si="43"/>
        <v>0</v>
      </c>
      <c r="P114" s="478">
        <f t="shared" si="44"/>
        <v>0</v>
      </c>
    </row>
    <row r="115" spans="2:16" ht="12.5">
      <c r="B115" s="160" t="str">
        <f t="shared" si="35"/>
        <v/>
      </c>
      <c r="C115" s="472">
        <f>IF(D93="","-",+C114+1)</f>
        <v>2026</v>
      </c>
      <c r="D115" s="346">
        <f>IF(F114+SUM(E$101:E114)=D$92,F114,D$92-SUM(E$101:E114))</f>
        <v>15387.5</v>
      </c>
      <c r="E115" s="486">
        <f>IF(+J96&lt;F114,J96,D115)</f>
        <v>539</v>
      </c>
      <c r="F115" s="485">
        <f t="shared" si="38"/>
        <v>14848.5</v>
      </c>
      <c r="G115" s="485">
        <f t="shared" si="39"/>
        <v>15118</v>
      </c>
      <c r="H115" s="488">
        <f t="shared" si="40"/>
        <v>2259.3194450496699</v>
      </c>
      <c r="I115" s="542">
        <f t="shared" si="41"/>
        <v>2259.3194450496699</v>
      </c>
      <c r="J115" s="478">
        <f t="shared" si="36"/>
        <v>0</v>
      </c>
      <c r="K115" s="478"/>
      <c r="L115" s="487"/>
      <c r="M115" s="478">
        <f t="shared" si="42"/>
        <v>0</v>
      </c>
      <c r="N115" s="487"/>
      <c r="O115" s="478">
        <f t="shared" si="43"/>
        <v>0</v>
      </c>
      <c r="P115" s="478">
        <f t="shared" si="44"/>
        <v>0</v>
      </c>
    </row>
    <row r="116" spans="2:16" ht="12.5">
      <c r="B116" s="160" t="str">
        <f t="shared" si="35"/>
        <v/>
      </c>
      <c r="C116" s="472">
        <f>IF(D93="","-",+C115+1)</f>
        <v>2027</v>
      </c>
      <c r="D116" s="346">
        <f>IF(F115+SUM(E$101:E115)=D$92,F115,D$92-SUM(E$101:E115))</f>
        <v>14848.5</v>
      </c>
      <c r="E116" s="486">
        <f>IF(+J96&lt;F115,J96,D116)</f>
        <v>539</v>
      </c>
      <c r="F116" s="485">
        <f t="shared" si="38"/>
        <v>14309.5</v>
      </c>
      <c r="G116" s="485">
        <f t="shared" si="39"/>
        <v>14579</v>
      </c>
      <c r="H116" s="488">
        <f t="shared" si="40"/>
        <v>2197.9851296057109</v>
      </c>
      <c r="I116" s="542">
        <f t="shared" si="41"/>
        <v>2197.9851296057109</v>
      </c>
      <c r="J116" s="478">
        <f t="shared" si="36"/>
        <v>0</v>
      </c>
      <c r="K116" s="478"/>
      <c r="L116" s="487"/>
      <c r="M116" s="478">
        <f t="shared" si="42"/>
        <v>0</v>
      </c>
      <c r="N116" s="487"/>
      <c r="O116" s="478">
        <f t="shared" si="43"/>
        <v>0</v>
      </c>
      <c r="P116" s="478">
        <f t="shared" si="44"/>
        <v>0</v>
      </c>
    </row>
    <row r="117" spans="2:16" ht="12.5">
      <c r="B117" s="160" t="str">
        <f t="shared" si="35"/>
        <v/>
      </c>
      <c r="C117" s="472">
        <f>IF(D93="","-",+C116+1)</f>
        <v>2028</v>
      </c>
      <c r="D117" s="346">
        <f>IF(F116+SUM(E$101:E116)=D$92,F116,D$92-SUM(E$101:E116))</f>
        <v>14309.5</v>
      </c>
      <c r="E117" s="486">
        <f>IF(+J96&lt;F116,J96,D117)</f>
        <v>539</v>
      </c>
      <c r="F117" s="485">
        <f t="shared" si="38"/>
        <v>13770.5</v>
      </c>
      <c r="G117" s="485">
        <f t="shared" si="39"/>
        <v>14040</v>
      </c>
      <c r="H117" s="488">
        <f t="shared" si="40"/>
        <v>2136.6508141617519</v>
      </c>
      <c r="I117" s="542">
        <f t="shared" si="41"/>
        <v>2136.6508141617519</v>
      </c>
      <c r="J117" s="478">
        <f t="shared" si="36"/>
        <v>0</v>
      </c>
      <c r="K117" s="478"/>
      <c r="L117" s="487"/>
      <c r="M117" s="478">
        <f t="shared" si="42"/>
        <v>0</v>
      </c>
      <c r="N117" s="487"/>
      <c r="O117" s="478">
        <f t="shared" si="43"/>
        <v>0</v>
      </c>
      <c r="P117" s="478">
        <f t="shared" si="44"/>
        <v>0</v>
      </c>
    </row>
    <row r="118" spans="2:16" ht="12.5">
      <c r="B118" s="160" t="str">
        <f t="shared" si="35"/>
        <v/>
      </c>
      <c r="C118" s="472">
        <f>IF(D93="","-",+C117+1)</f>
        <v>2029</v>
      </c>
      <c r="D118" s="346">
        <f>IF(F117+SUM(E$101:E117)=D$92,F117,D$92-SUM(E$101:E117))</f>
        <v>13770.5</v>
      </c>
      <c r="E118" s="486">
        <f>IF(+J96&lt;F117,J96,D118)</f>
        <v>539</v>
      </c>
      <c r="F118" s="485">
        <f t="shared" si="38"/>
        <v>13231.5</v>
      </c>
      <c r="G118" s="485">
        <f t="shared" si="39"/>
        <v>13501</v>
      </c>
      <c r="H118" s="488">
        <f t="shared" si="40"/>
        <v>2075.3164987177929</v>
      </c>
      <c r="I118" s="542">
        <f t="shared" si="41"/>
        <v>2075.3164987177929</v>
      </c>
      <c r="J118" s="478">
        <f t="shared" si="36"/>
        <v>0</v>
      </c>
      <c r="K118" s="478"/>
      <c r="L118" s="487"/>
      <c r="M118" s="478">
        <f t="shared" si="42"/>
        <v>0</v>
      </c>
      <c r="N118" s="487"/>
      <c r="O118" s="478">
        <f t="shared" si="43"/>
        <v>0</v>
      </c>
      <c r="P118" s="478">
        <f t="shared" si="44"/>
        <v>0</v>
      </c>
    </row>
    <row r="119" spans="2:16" ht="12.5">
      <c r="B119" s="160" t="str">
        <f t="shared" si="35"/>
        <v/>
      </c>
      <c r="C119" s="472">
        <f>IF(D93="","-",+C118+1)</f>
        <v>2030</v>
      </c>
      <c r="D119" s="346">
        <f>IF(F118+SUM(E$101:E118)=D$92,F118,D$92-SUM(E$101:E118))</f>
        <v>13231.5</v>
      </c>
      <c r="E119" s="486">
        <f t="shared" ref="E119:E154" si="45">IF(+J$96&lt;F118,J$96,D119)</f>
        <v>539</v>
      </c>
      <c r="F119" s="485">
        <f t="shared" si="38"/>
        <v>12692.5</v>
      </c>
      <c r="G119" s="485">
        <f t="shared" si="39"/>
        <v>12962</v>
      </c>
      <c r="H119" s="488">
        <f t="shared" si="40"/>
        <v>2013.9821832738339</v>
      </c>
      <c r="I119" s="542">
        <f t="shared" si="41"/>
        <v>2013.9821832738339</v>
      </c>
      <c r="J119" s="478">
        <f t="shared" si="36"/>
        <v>0</v>
      </c>
      <c r="K119" s="478"/>
      <c r="L119" s="487"/>
      <c r="M119" s="478">
        <f t="shared" si="42"/>
        <v>0</v>
      </c>
      <c r="N119" s="487"/>
      <c r="O119" s="478">
        <f t="shared" si="43"/>
        <v>0</v>
      </c>
      <c r="P119" s="478">
        <f t="shared" si="44"/>
        <v>0</v>
      </c>
    </row>
    <row r="120" spans="2:16" ht="12.5">
      <c r="B120" s="160" t="str">
        <f t="shared" si="35"/>
        <v/>
      </c>
      <c r="C120" s="472">
        <f>IF(D93="","-",+C119+1)</f>
        <v>2031</v>
      </c>
      <c r="D120" s="346">
        <f>IF(F119+SUM(E$101:E119)=D$92,F119,D$92-SUM(E$101:E119))</f>
        <v>12692.5</v>
      </c>
      <c r="E120" s="486">
        <f t="shared" si="45"/>
        <v>539</v>
      </c>
      <c r="F120" s="485">
        <f t="shared" si="38"/>
        <v>12153.5</v>
      </c>
      <c r="G120" s="485">
        <f t="shared" si="39"/>
        <v>12423</v>
      </c>
      <c r="H120" s="488">
        <f t="shared" si="40"/>
        <v>1952.6478678298749</v>
      </c>
      <c r="I120" s="542">
        <f t="shared" si="41"/>
        <v>1952.6478678298749</v>
      </c>
      <c r="J120" s="478">
        <f t="shared" si="36"/>
        <v>0</v>
      </c>
      <c r="K120" s="478"/>
      <c r="L120" s="487"/>
      <c r="M120" s="478">
        <f t="shared" si="42"/>
        <v>0</v>
      </c>
      <c r="N120" s="487"/>
      <c r="O120" s="478">
        <f t="shared" si="43"/>
        <v>0</v>
      </c>
      <c r="P120" s="478">
        <f t="shared" si="44"/>
        <v>0</v>
      </c>
    </row>
    <row r="121" spans="2:16" ht="12.5">
      <c r="B121" s="160" t="str">
        <f t="shared" si="35"/>
        <v/>
      </c>
      <c r="C121" s="472">
        <f>IF(D93="","-",+C120+1)</f>
        <v>2032</v>
      </c>
      <c r="D121" s="346">
        <f>IF(F120+SUM(E$101:E120)=D$92,F120,D$92-SUM(E$101:E120))</f>
        <v>12153.5</v>
      </c>
      <c r="E121" s="486">
        <f t="shared" si="45"/>
        <v>539</v>
      </c>
      <c r="F121" s="485">
        <f t="shared" si="38"/>
        <v>11614.5</v>
      </c>
      <c r="G121" s="485">
        <f t="shared" si="39"/>
        <v>11884</v>
      </c>
      <c r="H121" s="488">
        <f t="shared" si="40"/>
        <v>1891.313552385916</v>
      </c>
      <c r="I121" s="542">
        <f t="shared" si="41"/>
        <v>1891.313552385916</v>
      </c>
      <c r="J121" s="478">
        <f t="shared" si="36"/>
        <v>0</v>
      </c>
      <c r="K121" s="478"/>
      <c r="L121" s="487"/>
      <c r="M121" s="478">
        <f t="shared" si="42"/>
        <v>0</v>
      </c>
      <c r="N121" s="487"/>
      <c r="O121" s="478">
        <f t="shared" si="43"/>
        <v>0</v>
      </c>
      <c r="P121" s="478">
        <f t="shared" si="44"/>
        <v>0</v>
      </c>
    </row>
    <row r="122" spans="2:16" ht="12.5">
      <c r="B122" s="160" t="str">
        <f t="shared" si="35"/>
        <v/>
      </c>
      <c r="C122" s="472">
        <f>IF(D93="","-",+C121+1)</f>
        <v>2033</v>
      </c>
      <c r="D122" s="346">
        <f>IF(F121+SUM(E$101:E121)=D$92,F121,D$92-SUM(E$101:E121))</f>
        <v>11614.5</v>
      </c>
      <c r="E122" s="486">
        <f t="shared" si="45"/>
        <v>539</v>
      </c>
      <c r="F122" s="485">
        <f t="shared" si="38"/>
        <v>11075.5</v>
      </c>
      <c r="G122" s="485">
        <f t="shared" si="39"/>
        <v>11345</v>
      </c>
      <c r="H122" s="488">
        <f t="shared" si="40"/>
        <v>1829.979236941957</v>
      </c>
      <c r="I122" s="542">
        <f t="shared" si="41"/>
        <v>1829.979236941957</v>
      </c>
      <c r="J122" s="478">
        <f t="shared" si="36"/>
        <v>0</v>
      </c>
      <c r="K122" s="478"/>
      <c r="L122" s="487"/>
      <c r="M122" s="478">
        <f t="shared" si="42"/>
        <v>0</v>
      </c>
      <c r="N122" s="487"/>
      <c r="O122" s="478">
        <f t="shared" si="43"/>
        <v>0</v>
      </c>
      <c r="P122" s="478">
        <f t="shared" si="44"/>
        <v>0</v>
      </c>
    </row>
    <row r="123" spans="2:16" ht="12.5">
      <c r="B123" s="160" t="str">
        <f t="shared" si="35"/>
        <v/>
      </c>
      <c r="C123" s="472">
        <f>IF(D93="","-",+C122+1)</f>
        <v>2034</v>
      </c>
      <c r="D123" s="346">
        <f>IF(F122+SUM(E$101:E122)=D$92,F122,D$92-SUM(E$101:E122))</f>
        <v>11075.5</v>
      </c>
      <c r="E123" s="486">
        <f t="shared" si="45"/>
        <v>539</v>
      </c>
      <c r="F123" s="485">
        <f t="shared" si="38"/>
        <v>10536.5</v>
      </c>
      <c r="G123" s="485">
        <f t="shared" si="39"/>
        <v>10806</v>
      </c>
      <c r="H123" s="488">
        <f t="shared" si="40"/>
        <v>1768.644921497998</v>
      </c>
      <c r="I123" s="542">
        <f t="shared" si="41"/>
        <v>1768.644921497998</v>
      </c>
      <c r="J123" s="478">
        <f t="shared" si="36"/>
        <v>0</v>
      </c>
      <c r="K123" s="478"/>
      <c r="L123" s="487"/>
      <c r="M123" s="478">
        <f t="shared" si="42"/>
        <v>0</v>
      </c>
      <c r="N123" s="487"/>
      <c r="O123" s="478">
        <f t="shared" si="43"/>
        <v>0</v>
      </c>
      <c r="P123" s="478">
        <f t="shared" si="44"/>
        <v>0</v>
      </c>
    </row>
    <row r="124" spans="2:16" ht="12.5">
      <c r="B124" s="160" t="str">
        <f t="shared" si="35"/>
        <v/>
      </c>
      <c r="C124" s="472">
        <f>IF(D93="","-",+C123+1)</f>
        <v>2035</v>
      </c>
      <c r="D124" s="346">
        <f>IF(F123+SUM(E$101:E123)=D$92,F123,D$92-SUM(E$101:E123))</f>
        <v>10536.5</v>
      </c>
      <c r="E124" s="486">
        <f t="shared" si="45"/>
        <v>539</v>
      </c>
      <c r="F124" s="485">
        <f t="shared" si="38"/>
        <v>9997.5</v>
      </c>
      <c r="G124" s="485">
        <f t="shared" si="39"/>
        <v>10267</v>
      </c>
      <c r="H124" s="488">
        <f t="shared" si="40"/>
        <v>1707.310606054039</v>
      </c>
      <c r="I124" s="542">
        <f t="shared" si="41"/>
        <v>1707.310606054039</v>
      </c>
      <c r="J124" s="478">
        <f t="shared" si="36"/>
        <v>0</v>
      </c>
      <c r="K124" s="478"/>
      <c r="L124" s="487"/>
      <c r="M124" s="478">
        <f t="shared" si="42"/>
        <v>0</v>
      </c>
      <c r="N124" s="487"/>
      <c r="O124" s="478">
        <f t="shared" si="43"/>
        <v>0</v>
      </c>
      <c r="P124" s="478">
        <f t="shared" si="44"/>
        <v>0</v>
      </c>
    </row>
    <row r="125" spans="2:16" ht="12.5">
      <c r="B125" s="160" t="str">
        <f t="shared" si="35"/>
        <v/>
      </c>
      <c r="C125" s="472">
        <f>IF(D93="","-",+C124+1)</f>
        <v>2036</v>
      </c>
      <c r="D125" s="346">
        <f>IF(F124+SUM(E$101:E124)=D$92,F124,D$92-SUM(E$101:E124))</f>
        <v>9997.5</v>
      </c>
      <c r="E125" s="486">
        <f t="shared" si="45"/>
        <v>539</v>
      </c>
      <c r="F125" s="485">
        <f t="shared" si="38"/>
        <v>9458.5</v>
      </c>
      <c r="G125" s="485">
        <f t="shared" si="39"/>
        <v>9728</v>
      </c>
      <c r="H125" s="488">
        <f t="shared" si="40"/>
        <v>1645.97629061008</v>
      </c>
      <c r="I125" s="542">
        <f t="shared" si="41"/>
        <v>1645.97629061008</v>
      </c>
      <c r="J125" s="478">
        <f t="shared" si="36"/>
        <v>0</v>
      </c>
      <c r="K125" s="478"/>
      <c r="L125" s="487"/>
      <c r="M125" s="478">
        <f t="shared" si="42"/>
        <v>0</v>
      </c>
      <c r="N125" s="487"/>
      <c r="O125" s="478">
        <f t="shared" si="43"/>
        <v>0</v>
      </c>
      <c r="P125" s="478">
        <f t="shared" si="44"/>
        <v>0</v>
      </c>
    </row>
    <row r="126" spans="2:16" ht="12.5">
      <c r="B126" s="160" t="str">
        <f t="shared" si="35"/>
        <v/>
      </c>
      <c r="C126" s="472">
        <f>IF(D93="","-",+C125+1)</f>
        <v>2037</v>
      </c>
      <c r="D126" s="346">
        <f>IF(F125+SUM(E$101:E125)=D$92,F125,D$92-SUM(E$101:E125))</f>
        <v>9458.5</v>
      </c>
      <c r="E126" s="486">
        <f t="shared" si="45"/>
        <v>539</v>
      </c>
      <c r="F126" s="485">
        <f t="shared" si="38"/>
        <v>8919.5</v>
      </c>
      <c r="G126" s="485">
        <f t="shared" si="39"/>
        <v>9189</v>
      </c>
      <c r="H126" s="488">
        <f t="shared" si="40"/>
        <v>1584.641975166121</v>
      </c>
      <c r="I126" s="542">
        <f t="shared" si="41"/>
        <v>1584.641975166121</v>
      </c>
      <c r="J126" s="478">
        <f t="shared" si="36"/>
        <v>0</v>
      </c>
      <c r="K126" s="478"/>
      <c r="L126" s="487"/>
      <c r="M126" s="478">
        <f t="shared" si="42"/>
        <v>0</v>
      </c>
      <c r="N126" s="487"/>
      <c r="O126" s="478">
        <f t="shared" si="43"/>
        <v>0</v>
      </c>
      <c r="P126" s="478">
        <f t="shared" si="44"/>
        <v>0</v>
      </c>
    </row>
    <row r="127" spans="2:16" ht="12.5">
      <c r="B127" s="160" t="str">
        <f t="shared" si="35"/>
        <v/>
      </c>
      <c r="C127" s="472">
        <f>IF(D93="","-",+C126+1)</f>
        <v>2038</v>
      </c>
      <c r="D127" s="346">
        <f>IF(F126+SUM(E$101:E126)=D$92,F126,D$92-SUM(E$101:E126))</f>
        <v>8919.5</v>
      </c>
      <c r="E127" s="486">
        <f t="shared" si="45"/>
        <v>539</v>
      </c>
      <c r="F127" s="485">
        <f t="shared" si="38"/>
        <v>8380.5</v>
      </c>
      <c r="G127" s="485">
        <f t="shared" si="39"/>
        <v>8650</v>
      </c>
      <c r="H127" s="488">
        <f t="shared" si="40"/>
        <v>1523.307659722162</v>
      </c>
      <c r="I127" s="542">
        <f t="shared" si="41"/>
        <v>1523.307659722162</v>
      </c>
      <c r="J127" s="478">
        <f t="shared" si="36"/>
        <v>0</v>
      </c>
      <c r="K127" s="478"/>
      <c r="L127" s="487"/>
      <c r="M127" s="478">
        <f t="shared" si="42"/>
        <v>0</v>
      </c>
      <c r="N127" s="487"/>
      <c r="O127" s="478">
        <f t="shared" si="43"/>
        <v>0</v>
      </c>
      <c r="P127" s="478">
        <f t="shared" si="44"/>
        <v>0</v>
      </c>
    </row>
    <row r="128" spans="2:16" ht="12.5">
      <c r="B128" s="160" t="str">
        <f t="shared" si="35"/>
        <v/>
      </c>
      <c r="C128" s="472">
        <f>IF(D93="","-",+C127+1)</f>
        <v>2039</v>
      </c>
      <c r="D128" s="346">
        <f>IF(F127+SUM(E$101:E127)=D$92,F127,D$92-SUM(E$101:E127))</f>
        <v>8380.5</v>
      </c>
      <c r="E128" s="486">
        <f t="shared" si="45"/>
        <v>539</v>
      </c>
      <c r="F128" s="485">
        <f t="shared" si="38"/>
        <v>7841.5</v>
      </c>
      <c r="G128" s="485">
        <f t="shared" si="39"/>
        <v>8111</v>
      </c>
      <c r="H128" s="488">
        <f t="shared" si="40"/>
        <v>1461.9733442782031</v>
      </c>
      <c r="I128" s="542">
        <f t="shared" si="41"/>
        <v>1461.9733442782031</v>
      </c>
      <c r="J128" s="478">
        <f t="shared" si="36"/>
        <v>0</v>
      </c>
      <c r="K128" s="478"/>
      <c r="L128" s="487"/>
      <c r="M128" s="478">
        <f t="shared" si="42"/>
        <v>0</v>
      </c>
      <c r="N128" s="487"/>
      <c r="O128" s="478">
        <f t="shared" si="43"/>
        <v>0</v>
      </c>
      <c r="P128" s="478">
        <f t="shared" si="44"/>
        <v>0</v>
      </c>
    </row>
    <row r="129" spans="2:16" ht="12.5">
      <c r="B129" s="160" t="str">
        <f t="shared" si="35"/>
        <v/>
      </c>
      <c r="C129" s="472">
        <f>IF(D93="","-",+C128+1)</f>
        <v>2040</v>
      </c>
      <c r="D129" s="346">
        <f>IF(F128+SUM(E$101:E128)=D$92,F128,D$92-SUM(E$101:E128))</f>
        <v>7841.5</v>
      </c>
      <c r="E129" s="486">
        <f t="shared" si="45"/>
        <v>539</v>
      </c>
      <c r="F129" s="485">
        <f t="shared" si="38"/>
        <v>7302.5</v>
      </c>
      <c r="G129" s="485">
        <f t="shared" si="39"/>
        <v>7572</v>
      </c>
      <c r="H129" s="488">
        <f t="shared" si="40"/>
        <v>1400.6390288342441</v>
      </c>
      <c r="I129" s="542">
        <f t="shared" si="41"/>
        <v>1400.6390288342441</v>
      </c>
      <c r="J129" s="478">
        <f t="shared" si="36"/>
        <v>0</v>
      </c>
      <c r="K129" s="478"/>
      <c r="L129" s="487"/>
      <c r="M129" s="478">
        <f t="shared" si="42"/>
        <v>0</v>
      </c>
      <c r="N129" s="487"/>
      <c r="O129" s="478">
        <f t="shared" si="43"/>
        <v>0</v>
      </c>
      <c r="P129" s="478">
        <f t="shared" si="44"/>
        <v>0</v>
      </c>
    </row>
    <row r="130" spans="2:16" ht="12.5">
      <c r="B130" s="160" t="str">
        <f t="shared" si="35"/>
        <v/>
      </c>
      <c r="C130" s="472">
        <f>IF(D93="","-",+C129+1)</f>
        <v>2041</v>
      </c>
      <c r="D130" s="346">
        <f>IF(F129+SUM(E$101:E129)=D$92,F129,D$92-SUM(E$101:E129))</f>
        <v>7302.5</v>
      </c>
      <c r="E130" s="486">
        <f t="shared" si="45"/>
        <v>539</v>
      </c>
      <c r="F130" s="485">
        <f t="shared" si="38"/>
        <v>6763.5</v>
      </c>
      <c r="G130" s="485">
        <f t="shared" si="39"/>
        <v>7033</v>
      </c>
      <c r="H130" s="488">
        <f t="shared" si="40"/>
        <v>1339.3047133902851</v>
      </c>
      <c r="I130" s="542">
        <f t="shared" si="41"/>
        <v>1339.3047133902851</v>
      </c>
      <c r="J130" s="478">
        <f t="shared" si="36"/>
        <v>0</v>
      </c>
      <c r="K130" s="478"/>
      <c r="L130" s="487"/>
      <c r="M130" s="478">
        <f t="shared" si="42"/>
        <v>0</v>
      </c>
      <c r="N130" s="487"/>
      <c r="O130" s="478">
        <f t="shared" si="43"/>
        <v>0</v>
      </c>
      <c r="P130" s="478">
        <f t="shared" si="44"/>
        <v>0</v>
      </c>
    </row>
    <row r="131" spans="2:16" ht="12.5">
      <c r="B131" s="160" t="str">
        <f t="shared" si="35"/>
        <v/>
      </c>
      <c r="C131" s="472">
        <f>IF(D93="","-",+C130+1)</f>
        <v>2042</v>
      </c>
      <c r="D131" s="346">
        <f>IF(F130+SUM(E$101:E130)=D$92,F130,D$92-SUM(E$101:E130))</f>
        <v>6763.5</v>
      </c>
      <c r="E131" s="486">
        <f t="shared" si="45"/>
        <v>539</v>
      </c>
      <c r="F131" s="485">
        <f t="shared" si="38"/>
        <v>6224.5</v>
      </c>
      <c r="G131" s="485">
        <f t="shared" si="39"/>
        <v>6494</v>
      </c>
      <c r="H131" s="488">
        <f t="shared" si="40"/>
        <v>1277.9703979463261</v>
      </c>
      <c r="I131" s="542">
        <f t="shared" si="41"/>
        <v>1277.9703979463261</v>
      </c>
      <c r="J131" s="478">
        <f t="shared" si="36"/>
        <v>0</v>
      </c>
      <c r="K131" s="478"/>
      <c r="L131" s="487"/>
      <c r="M131" s="478">
        <f t="shared" ref="M131:M154" si="46">IF(L541&lt;&gt;0,+H541-L541,0)</f>
        <v>0</v>
      </c>
      <c r="N131" s="487"/>
      <c r="O131" s="478">
        <f t="shared" si="43"/>
        <v>0</v>
      </c>
      <c r="P131" s="478">
        <f t="shared" si="44"/>
        <v>0</v>
      </c>
    </row>
    <row r="132" spans="2:16" ht="12.5">
      <c r="B132" s="160" t="str">
        <f t="shared" si="35"/>
        <v/>
      </c>
      <c r="C132" s="472">
        <f>IF(D93="","-",+C131+1)</f>
        <v>2043</v>
      </c>
      <c r="D132" s="346">
        <f>IF(F131+SUM(E$101:E131)=D$92,F131,D$92-SUM(E$101:E131))</f>
        <v>6224.5</v>
      </c>
      <c r="E132" s="486">
        <f t="shared" si="45"/>
        <v>539</v>
      </c>
      <c r="F132" s="485">
        <f t="shared" si="38"/>
        <v>5685.5</v>
      </c>
      <c r="G132" s="485">
        <f t="shared" si="39"/>
        <v>5955</v>
      </c>
      <c r="H132" s="488">
        <f t="shared" si="40"/>
        <v>1216.6360825023671</v>
      </c>
      <c r="I132" s="542">
        <f t="shared" si="41"/>
        <v>1216.6360825023671</v>
      </c>
      <c r="J132" s="478">
        <f t="shared" si="36"/>
        <v>0</v>
      </c>
      <c r="K132" s="478"/>
      <c r="L132" s="487"/>
      <c r="M132" s="478">
        <f t="shared" si="46"/>
        <v>0</v>
      </c>
      <c r="N132" s="487"/>
      <c r="O132" s="478">
        <f t="shared" si="43"/>
        <v>0</v>
      </c>
      <c r="P132" s="478">
        <f t="shared" si="44"/>
        <v>0</v>
      </c>
    </row>
    <row r="133" spans="2:16" ht="12.5">
      <c r="B133" s="160" t="str">
        <f t="shared" si="35"/>
        <v/>
      </c>
      <c r="C133" s="472">
        <f>IF(D93="","-",+C132+1)</f>
        <v>2044</v>
      </c>
      <c r="D133" s="346">
        <f>IF(F132+SUM(E$101:E132)=D$92,F132,D$92-SUM(E$101:E132))</f>
        <v>5685.5</v>
      </c>
      <c r="E133" s="486">
        <f t="shared" si="45"/>
        <v>539</v>
      </c>
      <c r="F133" s="485">
        <f t="shared" si="38"/>
        <v>5146.5</v>
      </c>
      <c r="G133" s="485">
        <f t="shared" ref="G133:G154" si="47">+(F133+D133)/2</f>
        <v>5416</v>
      </c>
      <c r="H133" s="488">
        <f t="shared" ref="H133:H154" si="48">+J$94*G133+E133</f>
        <v>1155.3017670584081</v>
      </c>
      <c r="I133" s="542">
        <f t="shared" ref="I133:I154" si="49">+J$95*G133+E133</f>
        <v>1155.3017670584081</v>
      </c>
      <c r="J133" s="478">
        <f t="shared" ref="J133:J154" si="50">+I541-H541</f>
        <v>0</v>
      </c>
      <c r="K133" s="478"/>
      <c r="L133" s="487"/>
      <c r="M133" s="478">
        <f t="shared" si="46"/>
        <v>0</v>
      </c>
      <c r="N133" s="487"/>
      <c r="O133" s="478">
        <f t="shared" si="43"/>
        <v>0</v>
      </c>
      <c r="P133" s="478">
        <f t="shared" si="44"/>
        <v>0</v>
      </c>
    </row>
    <row r="134" spans="2:16" ht="12.5">
      <c r="B134" s="160" t="str">
        <f t="shared" ref="B134:B154" si="51">IF(D134=F133,"","IU")</f>
        <v/>
      </c>
      <c r="C134" s="472">
        <f>IF(D93="","-",+C133+1)</f>
        <v>2045</v>
      </c>
      <c r="D134" s="346">
        <f>IF(F133+SUM(E$101:E133)=D$92,F133,D$92-SUM(E$101:E133))</f>
        <v>5146.5</v>
      </c>
      <c r="E134" s="486">
        <f t="shared" si="45"/>
        <v>539</v>
      </c>
      <c r="F134" s="485">
        <f t="shared" ref="F134:F154" si="52">+D134-E134</f>
        <v>4607.5</v>
      </c>
      <c r="G134" s="485">
        <f t="shared" si="47"/>
        <v>4877</v>
      </c>
      <c r="H134" s="488">
        <f t="shared" si="48"/>
        <v>1093.9674516144491</v>
      </c>
      <c r="I134" s="542">
        <f t="shared" si="49"/>
        <v>1093.9674516144491</v>
      </c>
      <c r="J134" s="478">
        <f t="shared" si="50"/>
        <v>0</v>
      </c>
      <c r="K134" s="478"/>
      <c r="L134" s="487"/>
      <c r="M134" s="478">
        <f t="shared" si="46"/>
        <v>0</v>
      </c>
      <c r="N134" s="487"/>
      <c r="O134" s="478">
        <f t="shared" si="43"/>
        <v>0</v>
      </c>
      <c r="P134" s="478">
        <f t="shared" si="44"/>
        <v>0</v>
      </c>
    </row>
    <row r="135" spans="2:16" ht="12.5">
      <c r="B135" s="160" t="str">
        <f t="shared" si="51"/>
        <v/>
      </c>
      <c r="C135" s="472">
        <f>IF(D93="","-",+C134+1)</f>
        <v>2046</v>
      </c>
      <c r="D135" s="346">
        <f>IF(F134+SUM(E$101:E134)=D$92,F134,D$92-SUM(E$101:E134))</f>
        <v>4607.5</v>
      </c>
      <c r="E135" s="486">
        <f t="shared" si="45"/>
        <v>539</v>
      </c>
      <c r="F135" s="485">
        <f t="shared" si="52"/>
        <v>4068.5</v>
      </c>
      <c r="G135" s="485">
        <f t="shared" si="47"/>
        <v>4338</v>
      </c>
      <c r="H135" s="488">
        <f t="shared" si="48"/>
        <v>1032.6331361704899</v>
      </c>
      <c r="I135" s="542">
        <f t="shared" si="49"/>
        <v>1032.6331361704899</v>
      </c>
      <c r="J135" s="478">
        <f t="shared" si="50"/>
        <v>0</v>
      </c>
      <c r="K135" s="478"/>
      <c r="L135" s="487"/>
      <c r="M135" s="478">
        <f t="shared" si="46"/>
        <v>0</v>
      </c>
      <c r="N135" s="487"/>
      <c r="O135" s="478">
        <f t="shared" si="43"/>
        <v>0</v>
      </c>
      <c r="P135" s="478">
        <f t="shared" si="44"/>
        <v>0</v>
      </c>
    </row>
    <row r="136" spans="2:16" ht="12.5">
      <c r="B136" s="160" t="str">
        <f t="shared" si="51"/>
        <v/>
      </c>
      <c r="C136" s="472">
        <f>IF(D93="","-",+C135+1)</f>
        <v>2047</v>
      </c>
      <c r="D136" s="346">
        <f>IF(F135+SUM(E$101:E135)=D$92,F135,D$92-SUM(E$101:E135))</f>
        <v>4068.5</v>
      </c>
      <c r="E136" s="486">
        <f t="shared" si="45"/>
        <v>539</v>
      </c>
      <c r="F136" s="485">
        <f t="shared" si="52"/>
        <v>3529.5</v>
      </c>
      <c r="G136" s="485">
        <f t="shared" si="47"/>
        <v>3799</v>
      </c>
      <c r="H136" s="488">
        <f t="shared" si="48"/>
        <v>971.29882072653095</v>
      </c>
      <c r="I136" s="542">
        <f t="shared" si="49"/>
        <v>971.29882072653095</v>
      </c>
      <c r="J136" s="478">
        <f t="shared" si="50"/>
        <v>0</v>
      </c>
      <c r="K136" s="478"/>
      <c r="L136" s="487"/>
      <c r="M136" s="478">
        <f t="shared" si="46"/>
        <v>0</v>
      </c>
      <c r="N136" s="487"/>
      <c r="O136" s="478">
        <f t="shared" si="43"/>
        <v>0</v>
      </c>
      <c r="P136" s="478">
        <f t="shared" si="44"/>
        <v>0</v>
      </c>
    </row>
    <row r="137" spans="2:16" ht="12.5">
      <c r="B137" s="160" t="str">
        <f t="shared" si="51"/>
        <v/>
      </c>
      <c r="C137" s="472">
        <f>IF(D93="","-",+C136+1)</f>
        <v>2048</v>
      </c>
      <c r="D137" s="346">
        <f>IF(F136+SUM(E$101:E136)=D$92,F136,D$92-SUM(E$101:E136))</f>
        <v>3529.5</v>
      </c>
      <c r="E137" s="486">
        <f t="shared" si="45"/>
        <v>539</v>
      </c>
      <c r="F137" s="485">
        <f t="shared" si="52"/>
        <v>2990.5</v>
      </c>
      <c r="G137" s="485">
        <f t="shared" si="47"/>
        <v>3260</v>
      </c>
      <c r="H137" s="488">
        <f t="shared" si="48"/>
        <v>909.96450528257196</v>
      </c>
      <c r="I137" s="542">
        <f t="shared" si="49"/>
        <v>909.96450528257196</v>
      </c>
      <c r="J137" s="478">
        <f t="shared" si="50"/>
        <v>0</v>
      </c>
      <c r="K137" s="478"/>
      <c r="L137" s="487"/>
      <c r="M137" s="478">
        <f t="shared" si="46"/>
        <v>0</v>
      </c>
      <c r="N137" s="487"/>
      <c r="O137" s="478">
        <f t="shared" si="43"/>
        <v>0</v>
      </c>
      <c r="P137" s="478">
        <f t="shared" si="44"/>
        <v>0</v>
      </c>
    </row>
    <row r="138" spans="2:16" ht="12.5">
      <c r="B138" s="160" t="str">
        <f t="shared" si="51"/>
        <v/>
      </c>
      <c r="C138" s="472">
        <f>IF(D93="","-",+C137+1)</f>
        <v>2049</v>
      </c>
      <c r="D138" s="346">
        <f>IF(F137+SUM(E$101:E137)=D$92,F137,D$92-SUM(E$101:E137))</f>
        <v>2990.5</v>
      </c>
      <c r="E138" s="486">
        <f t="shared" si="45"/>
        <v>539</v>
      </c>
      <c r="F138" s="485">
        <f t="shared" si="52"/>
        <v>2451.5</v>
      </c>
      <c r="G138" s="485">
        <f t="shared" si="47"/>
        <v>2721</v>
      </c>
      <c r="H138" s="488">
        <f t="shared" si="48"/>
        <v>848.63018983861298</v>
      </c>
      <c r="I138" s="542">
        <f t="shared" si="49"/>
        <v>848.63018983861298</v>
      </c>
      <c r="J138" s="478">
        <f t="shared" si="50"/>
        <v>0</v>
      </c>
      <c r="K138" s="478"/>
      <c r="L138" s="487"/>
      <c r="M138" s="478">
        <f t="shared" si="46"/>
        <v>0</v>
      </c>
      <c r="N138" s="487"/>
      <c r="O138" s="478">
        <f t="shared" si="43"/>
        <v>0</v>
      </c>
      <c r="P138" s="478">
        <f t="shared" si="44"/>
        <v>0</v>
      </c>
    </row>
    <row r="139" spans="2:16" ht="12.5">
      <c r="B139" s="160" t="str">
        <f t="shared" si="51"/>
        <v/>
      </c>
      <c r="C139" s="472">
        <f>IF(D93="","-",+C138+1)</f>
        <v>2050</v>
      </c>
      <c r="D139" s="346">
        <f>IF(F138+SUM(E$101:E138)=D$92,F138,D$92-SUM(E$101:E138))</f>
        <v>2451.5</v>
      </c>
      <c r="E139" s="486">
        <f t="shared" si="45"/>
        <v>539</v>
      </c>
      <c r="F139" s="485">
        <f t="shared" si="52"/>
        <v>1912.5</v>
      </c>
      <c r="G139" s="485">
        <f t="shared" si="47"/>
        <v>2182</v>
      </c>
      <c r="H139" s="488">
        <f t="shared" si="48"/>
        <v>787.29587439465399</v>
      </c>
      <c r="I139" s="542">
        <f t="shared" si="49"/>
        <v>787.29587439465399</v>
      </c>
      <c r="J139" s="478">
        <f t="shared" si="50"/>
        <v>0</v>
      </c>
      <c r="K139" s="478"/>
      <c r="L139" s="487"/>
      <c r="M139" s="478">
        <f t="shared" si="46"/>
        <v>0</v>
      </c>
      <c r="N139" s="487"/>
      <c r="O139" s="478">
        <f t="shared" si="43"/>
        <v>0</v>
      </c>
      <c r="P139" s="478">
        <f t="shared" si="44"/>
        <v>0</v>
      </c>
    </row>
    <row r="140" spans="2:16" ht="12.5">
      <c r="B140" s="160" t="str">
        <f t="shared" si="51"/>
        <v/>
      </c>
      <c r="C140" s="472">
        <f>IF(D93="","-",+C139+1)</f>
        <v>2051</v>
      </c>
      <c r="D140" s="346">
        <f>IF(F139+SUM(E$101:E139)=D$92,F139,D$92-SUM(E$101:E139))</f>
        <v>1912.5</v>
      </c>
      <c r="E140" s="486">
        <f t="shared" si="45"/>
        <v>539</v>
      </c>
      <c r="F140" s="485">
        <f t="shared" si="52"/>
        <v>1373.5</v>
      </c>
      <c r="G140" s="485">
        <f t="shared" si="47"/>
        <v>1643</v>
      </c>
      <c r="H140" s="488">
        <f t="shared" si="48"/>
        <v>725.96155895069501</v>
      </c>
      <c r="I140" s="542">
        <f t="shared" si="49"/>
        <v>725.96155895069501</v>
      </c>
      <c r="J140" s="478">
        <f t="shared" si="50"/>
        <v>0</v>
      </c>
      <c r="K140" s="478"/>
      <c r="L140" s="487"/>
      <c r="M140" s="478">
        <f t="shared" si="46"/>
        <v>0</v>
      </c>
      <c r="N140" s="487"/>
      <c r="O140" s="478">
        <f t="shared" si="43"/>
        <v>0</v>
      </c>
      <c r="P140" s="478">
        <f t="shared" si="44"/>
        <v>0</v>
      </c>
    </row>
    <row r="141" spans="2:16" ht="12.5">
      <c r="B141" s="160" t="str">
        <f t="shared" si="51"/>
        <v/>
      </c>
      <c r="C141" s="472">
        <f>IF(D93="","-",+C140+1)</f>
        <v>2052</v>
      </c>
      <c r="D141" s="346">
        <f>IF(F140+SUM(E$101:E140)=D$92,F140,D$92-SUM(E$101:E140))</f>
        <v>1373.5</v>
      </c>
      <c r="E141" s="486">
        <f t="shared" si="45"/>
        <v>539</v>
      </c>
      <c r="F141" s="485">
        <f t="shared" si="52"/>
        <v>834.5</v>
      </c>
      <c r="G141" s="485">
        <f t="shared" si="47"/>
        <v>1104</v>
      </c>
      <c r="H141" s="488">
        <f t="shared" si="48"/>
        <v>664.62724350673602</v>
      </c>
      <c r="I141" s="542">
        <f t="shared" si="49"/>
        <v>664.62724350673602</v>
      </c>
      <c r="J141" s="478">
        <f t="shared" si="50"/>
        <v>0</v>
      </c>
      <c r="K141" s="478"/>
      <c r="L141" s="487"/>
      <c r="M141" s="478">
        <f t="shared" si="46"/>
        <v>0</v>
      </c>
      <c r="N141" s="487"/>
      <c r="O141" s="478">
        <f t="shared" si="43"/>
        <v>0</v>
      </c>
      <c r="P141" s="478">
        <f t="shared" si="44"/>
        <v>0</v>
      </c>
    </row>
    <row r="142" spans="2:16" ht="12.5">
      <c r="B142" s="160" t="str">
        <f t="shared" si="51"/>
        <v/>
      </c>
      <c r="C142" s="472">
        <f>IF(D93="","-",+C141+1)</f>
        <v>2053</v>
      </c>
      <c r="D142" s="346">
        <f>IF(F141+SUM(E$101:E141)=D$92,F141,D$92-SUM(E$101:E141))</f>
        <v>834.5</v>
      </c>
      <c r="E142" s="486">
        <f t="shared" si="45"/>
        <v>539</v>
      </c>
      <c r="F142" s="485">
        <f t="shared" si="52"/>
        <v>295.5</v>
      </c>
      <c r="G142" s="485">
        <f t="shared" si="47"/>
        <v>565</v>
      </c>
      <c r="H142" s="488">
        <f t="shared" si="48"/>
        <v>603.29292806277704</v>
      </c>
      <c r="I142" s="542">
        <f t="shared" si="49"/>
        <v>603.29292806277704</v>
      </c>
      <c r="J142" s="478">
        <f t="shared" si="50"/>
        <v>0</v>
      </c>
      <c r="K142" s="478"/>
      <c r="L142" s="487"/>
      <c r="M142" s="478">
        <f t="shared" si="46"/>
        <v>0</v>
      </c>
      <c r="N142" s="487"/>
      <c r="O142" s="478">
        <f t="shared" si="43"/>
        <v>0</v>
      </c>
      <c r="P142" s="478">
        <f t="shared" si="44"/>
        <v>0</v>
      </c>
    </row>
    <row r="143" spans="2:16" ht="12.5">
      <c r="B143" s="160" t="str">
        <f t="shared" si="51"/>
        <v/>
      </c>
      <c r="C143" s="472">
        <f>IF(D93="","-",+C142+1)</f>
        <v>2054</v>
      </c>
      <c r="D143" s="346">
        <f>IF(F142+SUM(E$101:E142)=D$92,F142,D$92-SUM(E$101:E142))</f>
        <v>295.5</v>
      </c>
      <c r="E143" s="486">
        <f t="shared" si="45"/>
        <v>295.5</v>
      </c>
      <c r="F143" s="485">
        <f t="shared" si="52"/>
        <v>0</v>
      </c>
      <c r="G143" s="485">
        <f t="shared" si="47"/>
        <v>147.75</v>
      </c>
      <c r="H143" s="488">
        <f t="shared" si="48"/>
        <v>312.31288517039877</v>
      </c>
      <c r="I143" s="542">
        <f t="shared" si="49"/>
        <v>312.31288517039877</v>
      </c>
      <c r="J143" s="478">
        <f t="shared" si="50"/>
        <v>0</v>
      </c>
      <c r="K143" s="478"/>
      <c r="L143" s="487"/>
      <c r="M143" s="478">
        <f t="shared" si="46"/>
        <v>0</v>
      </c>
      <c r="N143" s="487"/>
      <c r="O143" s="478">
        <f t="shared" si="43"/>
        <v>0</v>
      </c>
      <c r="P143" s="478">
        <f t="shared" si="44"/>
        <v>0</v>
      </c>
    </row>
    <row r="144" spans="2:16" ht="12.5">
      <c r="B144" s="160" t="str">
        <f t="shared" si="51"/>
        <v/>
      </c>
      <c r="C144" s="472">
        <f>IF(D93="","-",+C143+1)</f>
        <v>2055</v>
      </c>
      <c r="D144" s="346">
        <f>IF(F143+SUM(E$101:E143)=D$92,F143,D$92-SUM(E$101:E143))</f>
        <v>0</v>
      </c>
      <c r="E144" s="486">
        <f t="shared" si="45"/>
        <v>0</v>
      </c>
      <c r="F144" s="485">
        <f t="shared" si="52"/>
        <v>0</v>
      </c>
      <c r="G144" s="485">
        <f t="shared" si="47"/>
        <v>0</v>
      </c>
      <c r="H144" s="488">
        <f t="shared" si="48"/>
        <v>0</v>
      </c>
      <c r="I144" s="542">
        <f t="shared" si="49"/>
        <v>0</v>
      </c>
      <c r="J144" s="478">
        <f t="shared" si="50"/>
        <v>0</v>
      </c>
      <c r="K144" s="478"/>
      <c r="L144" s="487"/>
      <c r="M144" s="478">
        <f t="shared" si="46"/>
        <v>0</v>
      </c>
      <c r="N144" s="487"/>
      <c r="O144" s="478">
        <f t="shared" si="43"/>
        <v>0</v>
      </c>
      <c r="P144" s="478">
        <f t="shared" si="44"/>
        <v>0</v>
      </c>
    </row>
    <row r="145" spans="2:16" ht="12.5">
      <c r="B145" s="160" t="str">
        <f t="shared" si="51"/>
        <v/>
      </c>
      <c r="C145" s="472">
        <f>IF(D93="","-",+C144+1)</f>
        <v>2056</v>
      </c>
      <c r="D145" s="346">
        <f>IF(F144+SUM(E$101:E144)=D$92,F144,D$92-SUM(E$101:E144))</f>
        <v>0</v>
      </c>
      <c r="E145" s="486">
        <f t="shared" si="45"/>
        <v>0</v>
      </c>
      <c r="F145" s="485">
        <f t="shared" si="52"/>
        <v>0</v>
      </c>
      <c r="G145" s="485">
        <f t="shared" si="47"/>
        <v>0</v>
      </c>
      <c r="H145" s="488">
        <f t="shared" si="48"/>
        <v>0</v>
      </c>
      <c r="I145" s="542">
        <f t="shared" si="49"/>
        <v>0</v>
      </c>
      <c r="J145" s="478">
        <f t="shared" si="50"/>
        <v>0</v>
      </c>
      <c r="K145" s="478"/>
      <c r="L145" s="487"/>
      <c r="M145" s="478">
        <f t="shared" si="46"/>
        <v>0</v>
      </c>
      <c r="N145" s="487"/>
      <c r="O145" s="478">
        <f t="shared" si="43"/>
        <v>0</v>
      </c>
      <c r="P145" s="478">
        <f t="shared" si="44"/>
        <v>0</v>
      </c>
    </row>
    <row r="146" spans="2:16" ht="12.5">
      <c r="B146" s="160" t="str">
        <f t="shared" si="51"/>
        <v/>
      </c>
      <c r="C146" s="472">
        <f>IF(D93="","-",+C145+1)</f>
        <v>2057</v>
      </c>
      <c r="D146" s="346">
        <f>IF(F145+SUM(E$101:E145)=D$92,F145,D$92-SUM(E$101:E145))</f>
        <v>0</v>
      </c>
      <c r="E146" s="486">
        <f t="shared" si="45"/>
        <v>0</v>
      </c>
      <c r="F146" s="485">
        <f t="shared" si="52"/>
        <v>0</v>
      </c>
      <c r="G146" s="485">
        <f t="shared" si="47"/>
        <v>0</v>
      </c>
      <c r="H146" s="488">
        <f t="shared" si="48"/>
        <v>0</v>
      </c>
      <c r="I146" s="542">
        <f t="shared" si="49"/>
        <v>0</v>
      </c>
      <c r="J146" s="478">
        <f t="shared" si="50"/>
        <v>0</v>
      </c>
      <c r="K146" s="478"/>
      <c r="L146" s="487"/>
      <c r="M146" s="478">
        <f t="shared" si="46"/>
        <v>0</v>
      </c>
      <c r="N146" s="487"/>
      <c r="O146" s="478">
        <f t="shared" si="43"/>
        <v>0</v>
      </c>
      <c r="P146" s="478">
        <f t="shared" si="44"/>
        <v>0</v>
      </c>
    </row>
    <row r="147" spans="2:16" ht="12.5">
      <c r="B147" s="160" t="str">
        <f t="shared" si="51"/>
        <v/>
      </c>
      <c r="C147" s="472">
        <f>IF(D93="","-",+C146+1)</f>
        <v>2058</v>
      </c>
      <c r="D147" s="346">
        <f>IF(F146+SUM(E$101:E146)=D$92,F146,D$92-SUM(E$101:E146))</f>
        <v>0</v>
      </c>
      <c r="E147" s="486">
        <f t="shared" si="45"/>
        <v>0</v>
      </c>
      <c r="F147" s="485">
        <f t="shared" si="52"/>
        <v>0</v>
      </c>
      <c r="G147" s="485">
        <f t="shared" si="47"/>
        <v>0</v>
      </c>
      <c r="H147" s="488">
        <f t="shared" si="48"/>
        <v>0</v>
      </c>
      <c r="I147" s="542">
        <f t="shared" si="49"/>
        <v>0</v>
      </c>
      <c r="J147" s="478">
        <f t="shared" si="50"/>
        <v>0</v>
      </c>
      <c r="K147" s="478"/>
      <c r="L147" s="487"/>
      <c r="M147" s="478">
        <f t="shared" si="46"/>
        <v>0</v>
      </c>
      <c r="N147" s="487"/>
      <c r="O147" s="478">
        <f t="shared" si="43"/>
        <v>0</v>
      </c>
      <c r="P147" s="478">
        <f t="shared" si="44"/>
        <v>0</v>
      </c>
    </row>
    <row r="148" spans="2:16" ht="12.5">
      <c r="B148" s="160" t="str">
        <f t="shared" si="51"/>
        <v/>
      </c>
      <c r="C148" s="472">
        <f>IF(D93="","-",+C147+1)</f>
        <v>2059</v>
      </c>
      <c r="D148" s="346">
        <f>IF(F147+SUM(E$101:E147)=D$92,F147,D$92-SUM(E$101:E147))</f>
        <v>0</v>
      </c>
      <c r="E148" s="486">
        <f t="shared" si="45"/>
        <v>0</v>
      </c>
      <c r="F148" s="485">
        <f t="shared" si="52"/>
        <v>0</v>
      </c>
      <c r="G148" s="485">
        <f t="shared" si="47"/>
        <v>0</v>
      </c>
      <c r="H148" s="488">
        <f t="shared" si="48"/>
        <v>0</v>
      </c>
      <c r="I148" s="542">
        <f t="shared" si="49"/>
        <v>0</v>
      </c>
      <c r="J148" s="478">
        <f t="shared" si="50"/>
        <v>0</v>
      </c>
      <c r="K148" s="478"/>
      <c r="L148" s="487"/>
      <c r="M148" s="478">
        <f t="shared" si="46"/>
        <v>0</v>
      </c>
      <c r="N148" s="487"/>
      <c r="O148" s="478">
        <f t="shared" si="43"/>
        <v>0</v>
      </c>
      <c r="P148" s="478">
        <f t="shared" si="44"/>
        <v>0</v>
      </c>
    </row>
    <row r="149" spans="2:16" ht="12.5">
      <c r="B149" s="160" t="str">
        <f t="shared" si="51"/>
        <v/>
      </c>
      <c r="C149" s="472">
        <f>IF(D93="","-",+C148+1)</f>
        <v>2060</v>
      </c>
      <c r="D149" s="346">
        <f>IF(F148+SUM(E$101:E148)=D$92,F148,D$92-SUM(E$101:E148))</f>
        <v>0</v>
      </c>
      <c r="E149" s="486">
        <f t="shared" si="45"/>
        <v>0</v>
      </c>
      <c r="F149" s="485">
        <f t="shared" si="52"/>
        <v>0</v>
      </c>
      <c r="G149" s="485">
        <f t="shared" si="47"/>
        <v>0</v>
      </c>
      <c r="H149" s="488">
        <f t="shared" si="48"/>
        <v>0</v>
      </c>
      <c r="I149" s="542">
        <f t="shared" si="49"/>
        <v>0</v>
      </c>
      <c r="J149" s="478">
        <f t="shared" si="50"/>
        <v>0</v>
      </c>
      <c r="K149" s="478"/>
      <c r="L149" s="487"/>
      <c r="M149" s="478">
        <f t="shared" si="46"/>
        <v>0</v>
      </c>
      <c r="N149" s="487"/>
      <c r="O149" s="478">
        <f t="shared" si="43"/>
        <v>0</v>
      </c>
      <c r="P149" s="478">
        <f t="shared" si="44"/>
        <v>0</v>
      </c>
    </row>
    <row r="150" spans="2:16" ht="12.5">
      <c r="B150" s="160" t="str">
        <f t="shared" si="51"/>
        <v/>
      </c>
      <c r="C150" s="472">
        <f>IF(D93="","-",+C149+1)</f>
        <v>2061</v>
      </c>
      <c r="D150" s="346">
        <f>IF(F149+SUM(E$101:E149)=D$92,F149,D$92-SUM(E$101:E149))</f>
        <v>0</v>
      </c>
      <c r="E150" s="486">
        <f t="shared" si="45"/>
        <v>0</v>
      </c>
      <c r="F150" s="485">
        <f t="shared" si="52"/>
        <v>0</v>
      </c>
      <c r="G150" s="485">
        <f t="shared" si="47"/>
        <v>0</v>
      </c>
      <c r="H150" s="488">
        <f t="shared" si="48"/>
        <v>0</v>
      </c>
      <c r="I150" s="542">
        <f t="shared" si="49"/>
        <v>0</v>
      </c>
      <c r="J150" s="478">
        <f t="shared" si="50"/>
        <v>0</v>
      </c>
      <c r="K150" s="478"/>
      <c r="L150" s="487"/>
      <c r="M150" s="478">
        <f t="shared" si="46"/>
        <v>0</v>
      </c>
      <c r="N150" s="487"/>
      <c r="O150" s="478">
        <f t="shared" si="43"/>
        <v>0</v>
      </c>
      <c r="P150" s="478">
        <f t="shared" si="44"/>
        <v>0</v>
      </c>
    </row>
    <row r="151" spans="2:16" ht="12.5">
      <c r="B151" s="160" t="str">
        <f t="shared" si="51"/>
        <v/>
      </c>
      <c r="C151" s="472">
        <f>IF(D93="","-",+C150+1)</f>
        <v>2062</v>
      </c>
      <c r="D151" s="346">
        <f>IF(F150+SUM(E$101:E150)=D$92,F150,D$92-SUM(E$101:E150))</f>
        <v>0</v>
      </c>
      <c r="E151" s="486">
        <f t="shared" si="45"/>
        <v>0</v>
      </c>
      <c r="F151" s="485">
        <f t="shared" si="52"/>
        <v>0</v>
      </c>
      <c r="G151" s="485">
        <f t="shared" si="47"/>
        <v>0</v>
      </c>
      <c r="H151" s="488">
        <f t="shared" si="48"/>
        <v>0</v>
      </c>
      <c r="I151" s="542">
        <f t="shared" si="49"/>
        <v>0</v>
      </c>
      <c r="J151" s="478">
        <f t="shared" si="50"/>
        <v>0</v>
      </c>
      <c r="K151" s="478"/>
      <c r="L151" s="487"/>
      <c r="M151" s="478">
        <f t="shared" si="46"/>
        <v>0</v>
      </c>
      <c r="N151" s="487"/>
      <c r="O151" s="478">
        <f t="shared" si="43"/>
        <v>0</v>
      </c>
      <c r="P151" s="478">
        <f t="shared" si="44"/>
        <v>0</v>
      </c>
    </row>
    <row r="152" spans="2:16" ht="12.5">
      <c r="B152" s="160" t="str">
        <f t="shared" si="51"/>
        <v/>
      </c>
      <c r="C152" s="472">
        <f>IF(D93="","-",+C151+1)</f>
        <v>2063</v>
      </c>
      <c r="D152" s="346">
        <f>IF(F151+SUM(E$101:E151)=D$92,F151,D$92-SUM(E$101:E151))</f>
        <v>0</v>
      </c>
      <c r="E152" s="486">
        <f t="shared" si="45"/>
        <v>0</v>
      </c>
      <c r="F152" s="485">
        <f t="shared" si="52"/>
        <v>0</v>
      </c>
      <c r="G152" s="485">
        <f t="shared" si="47"/>
        <v>0</v>
      </c>
      <c r="H152" s="488">
        <f t="shared" si="48"/>
        <v>0</v>
      </c>
      <c r="I152" s="542">
        <f t="shared" si="49"/>
        <v>0</v>
      </c>
      <c r="J152" s="478">
        <f t="shared" si="50"/>
        <v>0</v>
      </c>
      <c r="K152" s="478"/>
      <c r="L152" s="487"/>
      <c r="M152" s="478">
        <f t="shared" si="46"/>
        <v>0</v>
      </c>
      <c r="N152" s="487"/>
      <c r="O152" s="478">
        <f t="shared" si="43"/>
        <v>0</v>
      </c>
      <c r="P152" s="478">
        <f t="shared" si="44"/>
        <v>0</v>
      </c>
    </row>
    <row r="153" spans="2:16" ht="12.5">
      <c r="B153" s="160" t="str">
        <f t="shared" si="51"/>
        <v/>
      </c>
      <c r="C153" s="472">
        <f>IF(D93="","-",+C152+1)</f>
        <v>2064</v>
      </c>
      <c r="D153" s="346">
        <f>IF(F152+SUM(E$101:E152)=D$92,F152,D$92-SUM(E$101:E152))</f>
        <v>0</v>
      </c>
      <c r="E153" s="486">
        <f t="shared" si="45"/>
        <v>0</v>
      </c>
      <c r="F153" s="485">
        <f t="shared" si="52"/>
        <v>0</v>
      </c>
      <c r="G153" s="485">
        <f t="shared" si="47"/>
        <v>0</v>
      </c>
      <c r="H153" s="488">
        <f t="shared" si="48"/>
        <v>0</v>
      </c>
      <c r="I153" s="542">
        <f t="shared" si="49"/>
        <v>0</v>
      </c>
      <c r="J153" s="478">
        <f t="shared" si="50"/>
        <v>0</v>
      </c>
      <c r="K153" s="478"/>
      <c r="L153" s="487"/>
      <c r="M153" s="478">
        <f t="shared" si="46"/>
        <v>0</v>
      </c>
      <c r="N153" s="487"/>
      <c r="O153" s="478">
        <f t="shared" si="43"/>
        <v>0</v>
      </c>
      <c r="P153" s="478">
        <f t="shared" si="44"/>
        <v>0</v>
      </c>
    </row>
    <row r="154" spans="2:16" ht="13" thickBot="1">
      <c r="B154" s="160" t="str">
        <f t="shared" si="51"/>
        <v/>
      </c>
      <c r="C154" s="489">
        <f>IF(D93="","-",+C153+1)</f>
        <v>2065</v>
      </c>
      <c r="D154" s="543">
        <f>IF(F153+SUM(E$101:E153)=D$92,F153,D$92-SUM(E$101:E153))</f>
        <v>0</v>
      </c>
      <c r="E154" s="544">
        <f t="shared" si="45"/>
        <v>0</v>
      </c>
      <c r="F154" s="490">
        <f t="shared" si="52"/>
        <v>0</v>
      </c>
      <c r="G154" s="490">
        <f t="shared" si="47"/>
        <v>0</v>
      </c>
      <c r="H154" s="492">
        <f t="shared" si="48"/>
        <v>0</v>
      </c>
      <c r="I154" s="545">
        <f t="shared" si="49"/>
        <v>0</v>
      </c>
      <c r="J154" s="495">
        <f t="shared" si="50"/>
        <v>0</v>
      </c>
      <c r="K154" s="478"/>
      <c r="L154" s="494"/>
      <c r="M154" s="495">
        <f t="shared" si="46"/>
        <v>0</v>
      </c>
      <c r="N154" s="494"/>
      <c r="O154" s="478">
        <f t="shared" si="43"/>
        <v>0</v>
      </c>
      <c r="P154" s="478">
        <f t="shared" si="44"/>
        <v>0</v>
      </c>
    </row>
    <row r="155" spans="2:16" ht="12.5">
      <c r="C155" s="346" t="s">
        <v>77</v>
      </c>
      <c r="D155" s="347"/>
      <c r="E155" s="347">
        <f>SUM(E101:E154)</f>
        <v>22097</v>
      </c>
      <c r="F155" s="347"/>
      <c r="G155" s="347"/>
      <c r="H155" s="347">
        <f>SUM(H101:H154)</f>
        <v>79932.307910657226</v>
      </c>
      <c r="I155" s="347">
        <f>SUM(I101:I154)</f>
        <v>79932.307910657226</v>
      </c>
      <c r="J155" s="347">
        <f>SUM(J101:J154)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1" priority="3" stopIfTrue="1" operator="equal">
      <formula>$I$10</formula>
    </cfRule>
  </conditionalFormatting>
  <conditionalFormatting sqref="C102:C152">
    <cfRule type="cellIs" dxfId="40" priority="4" stopIfTrue="1" operator="equal">
      <formula>$J$92</formula>
    </cfRule>
  </conditionalFormatting>
  <conditionalFormatting sqref="C153:C154">
    <cfRule type="cellIs" dxfId="39" priority="2" stopIfTrue="1" operator="equal">
      <formula>$J$92</formula>
    </cfRule>
  </conditionalFormatting>
  <conditionalFormatting sqref="C100:C101">
    <cfRule type="cellIs" dxfId="38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9"/>
  <dimension ref="A1:P162"/>
  <sheetViews>
    <sheetView view="pageBreakPreview" zoomScale="75" zoomScaleNormal="100" zoomScaleSheetLayoutView="7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14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111138.61538461538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111138.61538461538</v>
      </c>
      <c r="O6" s="232"/>
      <c r="P6" s="232"/>
    </row>
    <row r="7" spans="1:16" ht="13.5" thickBot="1">
      <c r="C7" s="431" t="s">
        <v>46</v>
      </c>
      <c r="D7" s="599" t="s">
        <v>242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241</v>
      </c>
      <c r="E9" s="577" t="s">
        <v>292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1035552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2013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26552.615384615383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0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2013</v>
      </c>
      <c r="D17" s="581">
        <v>5562500</v>
      </c>
      <c r="E17" s="601">
        <v>89142.628205128203</v>
      </c>
      <c r="F17" s="581">
        <v>5473357.371794872</v>
      </c>
      <c r="G17" s="601">
        <v>870775.06277038739</v>
      </c>
      <c r="H17" s="602">
        <v>870775.06277038739</v>
      </c>
      <c r="I17" s="475">
        <v>0</v>
      </c>
      <c r="J17" s="348"/>
      <c r="K17" s="554">
        <f t="shared" ref="K17:K22" si="0">G17</f>
        <v>870775.06277038739</v>
      </c>
      <c r="L17" s="603">
        <f t="shared" ref="L17:L22" si="1">IF(K17&lt;&gt;0,+G17-K17,0)</f>
        <v>0</v>
      </c>
      <c r="M17" s="554">
        <f t="shared" ref="M17:M22" si="2">H17</f>
        <v>870775.06277038739</v>
      </c>
      <c r="N17" s="477">
        <f t="shared" ref="N17:N22" si="3">IF(M17&lt;&gt;0,+H17-M17,0)</f>
        <v>0</v>
      </c>
      <c r="O17" s="475">
        <f t="shared" ref="O17:O22" si="4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2014</v>
      </c>
      <c r="D18" s="586">
        <v>5473357</v>
      </c>
      <c r="E18" s="585">
        <v>19910</v>
      </c>
      <c r="F18" s="586">
        <v>5453447</v>
      </c>
      <c r="G18" s="585">
        <v>770625</v>
      </c>
      <c r="H18" s="587">
        <v>770625</v>
      </c>
      <c r="I18" s="475">
        <f>H18-G18</f>
        <v>0</v>
      </c>
      <c r="J18" s="348"/>
      <c r="K18" s="476">
        <f t="shared" si="0"/>
        <v>770625</v>
      </c>
      <c r="L18" s="603">
        <f t="shared" si="1"/>
        <v>0</v>
      </c>
      <c r="M18" s="476">
        <f t="shared" si="2"/>
        <v>770625</v>
      </c>
      <c r="N18" s="478">
        <f t="shared" si="3"/>
        <v>0</v>
      </c>
      <c r="O18" s="475">
        <f t="shared" si="4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2015</v>
      </c>
      <c r="D19" s="586">
        <v>5453447</v>
      </c>
      <c r="E19" s="585">
        <f t="shared" ref="E19:E72" si="5">IF(+$I$14&lt;F18,$I$14,D19)</f>
        <v>26552.615384615383</v>
      </c>
      <c r="F19" s="586">
        <v>5433533</v>
      </c>
      <c r="G19" s="585">
        <v>769045</v>
      </c>
      <c r="H19" s="587">
        <v>769045</v>
      </c>
      <c r="I19" s="475">
        <f t="shared" ref="I19:I72" si="6">H19-G19</f>
        <v>0</v>
      </c>
      <c r="J19" s="348"/>
      <c r="K19" s="476">
        <f t="shared" si="0"/>
        <v>769045</v>
      </c>
      <c r="L19" s="603">
        <f t="shared" si="1"/>
        <v>0</v>
      </c>
      <c r="M19" s="476">
        <f t="shared" si="2"/>
        <v>769045</v>
      </c>
      <c r="N19" s="478">
        <f t="shared" si="3"/>
        <v>0</v>
      </c>
      <c r="O19" s="475">
        <f t="shared" si="4"/>
        <v>0</v>
      </c>
      <c r="P19" s="242"/>
    </row>
    <row r="20" spans="2:16" ht="12.5">
      <c r="B20" s="160" t="str">
        <f t="shared" ref="B20:B72" si="7">IF(D20=F19,"","IU")</f>
        <v>IU</v>
      </c>
      <c r="C20" s="472">
        <f>IF(D11="","-",+C19+1)</f>
        <v>2016</v>
      </c>
      <c r="D20" s="586">
        <v>906584.91025641025</v>
      </c>
      <c r="E20" s="585">
        <v>19914.461538461539</v>
      </c>
      <c r="F20" s="586">
        <v>886670.44871794875</v>
      </c>
      <c r="G20" s="585">
        <v>136209.46153846153</v>
      </c>
      <c r="H20" s="587">
        <v>136209.46153846153</v>
      </c>
      <c r="I20" s="475">
        <f t="shared" si="6"/>
        <v>0</v>
      </c>
      <c r="J20" s="348"/>
      <c r="K20" s="476">
        <f t="shared" si="0"/>
        <v>136209.46153846153</v>
      </c>
      <c r="L20" s="603">
        <f t="shared" si="1"/>
        <v>0</v>
      </c>
      <c r="M20" s="476">
        <f t="shared" si="2"/>
        <v>136209.46153846153</v>
      </c>
      <c r="N20" s="478">
        <f t="shared" si="3"/>
        <v>0</v>
      </c>
      <c r="O20" s="475">
        <f t="shared" si="4"/>
        <v>0</v>
      </c>
      <c r="P20" s="242"/>
    </row>
    <row r="21" spans="2:16" ht="12.5">
      <c r="B21" s="160" t="str">
        <f t="shared" si="7"/>
        <v>IU</v>
      </c>
      <c r="C21" s="472">
        <f>IF(D11="","-",+C20+1)</f>
        <v>2017</v>
      </c>
      <c r="D21" s="586">
        <v>884072.91025641025</v>
      </c>
      <c r="E21" s="585">
        <v>22512</v>
      </c>
      <c r="F21" s="586">
        <v>861560.91025641025</v>
      </c>
      <c r="G21" s="585">
        <v>132155</v>
      </c>
      <c r="H21" s="587">
        <v>132155</v>
      </c>
      <c r="I21" s="475">
        <f t="shared" si="6"/>
        <v>0</v>
      </c>
      <c r="J21" s="348"/>
      <c r="K21" s="476">
        <f t="shared" si="0"/>
        <v>132155</v>
      </c>
      <c r="L21" s="603">
        <f t="shared" si="1"/>
        <v>0</v>
      </c>
      <c r="M21" s="476">
        <f t="shared" si="2"/>
        <v>132155</v>
      </c>
      <c r="N21" s="478">
        <f t="shared" si="3"/>
        <v>0</v>
      </c>
      <c r="O21" s="475">
        <f t="shared" si="4"/>
        <v>0</v>
      </c>
      <c r="P21" s="242"/>
    </row>
    <row r="22" spans="2:16" ht="12.5">
      <c r="B22" s="160" t="str">
        <f t="shared" si="7"/>
        <v>IU</v>
      </c>
      <c r="C22" s="472">
        <f>IF(D11="","-",+C21+1)</f>
        <v>2018</v>
      </c>
      <c r="D22" s="586">
        <v>861060.64358974365</v>
      </c>
      <c r="E22" s="585">
        <v>23012.266666666666</v>
      </c>
      <c r="F22" s="586">
        <v>838048.37692307692</v>
      </c>
      <c r="G22" s="585">
        <v>124754.01488848326</v>
      </c>
      <c r="H22" s="587">
        <v>124754.01488848326</v>
      </c>
      <c r="I22" s="475">
        <f t="shared" si="6"/>
        <v>0</v>
      </c>
      <c r="J22" s="348"/>
      <c r="K22" s="476">
        <f t="shared" si="0"/>
        <v>124754.01488848326</v>
      </c>
      <c r="L22" s="603">
        <f t="shared" si="1"/>
        <v>0</v>
      </c>
      <c r="M22" s="476">
        <f t="shared" si="2"/>
        <v>124754.01488848326</v>
      </c>
      <c r="N22" s="478">
        <f t="shared" si="3"/>
        <v>0</v>
      </c>
      <c r="O22" s="475">
        <f t="shared" si="4"/>
        <v>0</v>
      </c>
      <c r="P22" s="242"/>
    </row>
    <row r="23" spans="2:16" ht="12.5">
      <c r="B23" s="160" t="str">
        <f t="shared" si="7"/>
        <v>IU</v>
      </c>
      <c r="C23" s="472">
        <f>IF(D11="","-",+C22+1)</f>
        <v>2019</v>
      </c>
      <c r="D23" s="586">
        <v>835171.8435897436</v>
      </c>
      <c r="E23" s="585">
        <v>25888.799999999999</v>
      </c>
      <c r="F23" s="586">
        <v>809283.04358974355</v>
      </c>
      <c r="G23" s="585">
        <v>117695.9465116283</v>
      </c>
      <c r="H23" s="587">
        <v>117695.9465116283</v>
      </c>
      <c r="I23" s="475">
        <f t="shared" si="6"/>
        <v>0</v>
      </c>
      <c r="J23" s="475"/>
      <c r="K23" s="476">
        <f t="shared" ref="K23" si="8">G23</f>
        <v>117695.9465116283</v>
      </c>
      <c r="L23" s="603">
        <f t="shared" ref="L23" si="9">IF(K23&lt;&gt;0,+G23-K23,0)</f>
        <v>0</v>
      </c>
      <c r="M23" s="476">
        <f t="shared" ref="M23" si="10">H23</f>
        <v>117695.9465116283</v>
      </c>
      <c r="N23" s="478">
        <f t="shared" ref="N23:N72" si="11">IF(M23&lt;&gt;0,+H23-M23,0)</f>
        <v>0</v>
      </c>
      <c r="O23" s="478">
        <f t="shared" ref="O23:O72" si="12">+N23-L23</f>
        <v>0</v>
      </c>
      <c r="P23" s="242"/>
    </row>
    <row r="24" spans="2:16" ht="12.5">
      <c r="B24" s="160" t="str">
        <f t="shared" si="7"/>
        <v>IU</v>
      </c>
      <c r="C24" s="472">
        <f>IF(D11="","-",+C23+1)</f>
        <v>2020</v>
      </c>
      <c r="D24" s="586">
        <v>815036.1102564102</v>
      </c>
      <c r="E24" s="585">
        <v>24656</v>
      </c>
      <c r="F24" s="586">
        <v>790380.1102564102</v>
      </c>
      <c r="G24" s="585">
        <v>111352.31037205369</v>
      </c>
      <c r="H24" s="587">
        <v>111352.31037205369</v>
      </c>
      <c r="I24" s="475">
        <f t="shared" si="6"/>
        <v>0</v>
      </c>
      <c r="J24" s="475"/>
      <c r="K24" s="476">
        <f t="shared" ref="K24" si="13">G24</f>
        <v>111352.31037205369</v>
      </c>
      <c r="L24" s="603">
        <f t="shared" ref="L24" si="14">IF(K24&lt;&gt;0,+G24-K24,0)</f>
        <v>0</v>
      </c>
      <c r="M24" s="476">
        <f t="shared" ref="M24" si="15">H24</f>
        <v>111352.31037205369</v>
      </c>
      <c r="N24" s="478">
        <f t="shared" si="11"/>
        <v>0</v>
      </c>
      <c r="O24" s="478">
        <f t="shared" si="12"/>
        <v>0</v>
      </c>
      <c r="P24" s="242"/>
    </row>
    <row r="25" spans="2:16" ht="12.5">
      <c r="B25" s="160" t="str">
        <f t="shared" si="7"/>
        <v>IU</v>
      </c>
      <c r="C25" s="472">
        <f>IF(D11="","-",+C24+1)</f>
        <v>2021</v>
      </c>
      <c r="D25" s="586">
        <v>786433.23893858085</v>
      </c>
      <c r="E25" s="585">
        <v>24082.60465116279</v>
      </c>
      <c r="F25" s="586">
        <v>762350.6342874181</v>
      </c>
      <c r="G25" s="585">
        <v>106280.60465116279</v>
      </c>
      <c r="H25" s="587">
        <v>106280.60465116279</v>
      </c>
      <c r="I25" s="475">
        <f t="shared" si="6"/>
        <v>0</v>
      </c>
      <c r="J25" s="475"/>
      <c r="K25" s="476">
        <f t="shared" ref="K25" si="16">G25</f>
        <v>106280.60465116279</v>
      </c>
      <c r="L25" s="603">
        <f t="shared" ref="L25" si="17">IF(K25&lt;&gt;0,+G25-K25,0)</f>
        <v>0</v>
      </c>
      <c r="M25" s="476">
        <f t="shared" ref="M25" si="18">H25</f>
        <v>106280.60465116279</v>
      </c>
      <c r="N25" s="478">
        <f t="shared" si="11"/>
        <v>0</v>
      </c>
      <c r="O25" s="478">
        <f t="shared" si="12"/>
        <v>0</v>
      </c>
      <c r="P25" s="242"/>
    </row>
    <row r="26" spans="2:16" ht="12.5">
      <c r="B26" s="160" t="str">
        <f t="shared" si="7"/>
        <v>IU</v>
      </c>
      <c r="C26" s="472">
        <f>IF(D11="","-",+C25+1)</f>
        <v>2022</v>
      </c>
      <c r="D26" s="586">
        <v>761777.23893858085</v>
      </c>
      <c r="E26" s="585">
        <v>24656</v>
      </c>
      <c r="F26" s="586">
        <v>737121.23893858085</v>
      </c>
      <c r="G26" s="585">
        <v>104126</v>
      </c>
      <c r="H26" s="587">
        <v>104126</v>
      </c>
      <c r="I26" s="475">
        <f t="shared" si="6"/>
        <v>0</v>
      </c>
      <c r="J26" s="475"/>
      <c r="K26" s="476">
        <f t="shared" ref="K26" si="19">G26</f>
        <v>104126</v>
      </c>
      <c r="L26" s="603">
        <f t="shared" ref="L26" si="20">IF(K26&lt;&gt;0,+G26-K26,0)</f>
        <v>0</v>
      </c>
      <c r="M26" s="476">
        <f t="shared" ref="M26" si="21">H26</f>
        <v>104126</v>
      </c>
      <c r="N26" s="478">
        <f t="shared" si="11"/>
        <v>0</v>
      </c>
      <c r="O26" s="478">
        <f t="shared" si="12"/>
        <v>0</v>
      </c>
      <c r="P26" s="242"/>
    </row>
    <row r="27" spans="2:16" ht="12.5">
      <c r="B27" s="160" t="str">
        <f t="shared" si="7"/>
        <v>IU</v>
      </c>
      <c r="C27" s="472">
        <f>IF(D11="","-",+C26+1)</f>
        <v>2023</v>
      </c>
      <c r="D27" s="485">
        <f>IF(F26+SUM(E$17:E26)=D$10,F26,D$10-SUM(E$17:E26))</f>
        <v>735224.62355396547</v>
      </c>
      <c r="E27" s="484">
        <f t="shared" si="5"/>
        <v>26552.615384615383</v>
      </c>
      <c r="F27" s="485">
        <f t="shared" ref="F27:F72" si="22">+D27-E27</f>
        <v>708672.0081693501</v>
      </c>
      <c r="G27" s="486">
        <f t="shared" ref="G27:G72" si="23">ROUND(I$12*F27,0)+E27</f>
        <v>111138.61538461538</v>
      </c>
      <c r="H27" s="455">
        <f t="shared" ref="H27:H72" si="24">ROUND(I$13*F27,0)+E27</f>
        <v>111138.61538461538</v>
      </c>
      <c r="I27" s="475">
        <f t="shared" si="6"/>
        <v>0</v>
      </c>
      <c r="J27" s="475"/>
      <c r="K27" s="487"/>
      <c r="L27" s="478">
        <f t="shared" ref="L27:L72" si="25">IF(K27&lt;&gt;0,+G27-K27,0)</f>
        <v>0</v>
      </c>
      <c r="M27" s="487"/>
      <c r="N27" s="478">
        <f t="shared" si="11"/>
        <v>0</v>
      </c>
      <c r="O27" s="478">
        <f t="shared" si="12"/>
        <v>0</v>
      </c>
      <c r="P27" s="242"/>
    </row>
    <row r="28" spans="2:16" ht="12.5">
      <c r="B28" s="160" t="str">
        <f t="shared" si="7"/>
        <v/>
      </c>
      <c r="C28" s="472">
        <f>IF(D11="","-",+C27+1)</f>
        <v>2024</v>
      </c>
      <c r="D28" s="485">
        <f>IF(F27+SUM(E$17:E27)=D$10,F27,D$10-SUM(E$17:E27))</f>
        <v>708672.0081693501</v>
      </c>
      <c r="E28" s="484">
        <f t="shared" si="5"/>
        <v>26552.615384615383</v>
      </c>
      <c r="F28" s="485">
        <f t="shared" si="22"/>
        <v>682119.39278473472</v>
      </c>
      <c r="G28" s="486">
        <f t="shared" si="23"/>
        <v>107969.61538461538</v>
      </c>
      <c r="H28" s="455">
        <f t="shared" si="24"/>
        <v>107969.61538461538</v>
      </c>
      <c r="I28" s="475">
        <f t="shared" si="6"/>
        <v>0</v>
      </c>
      <c r="J28" s="475"/>
      <c r="K28" s="487"/>
      <c r="L28" s="478">
        <f t="shared" si="25"/>
        <v>0</v>
      </c>
      <c r="M28" s="487"/>
      <c r="N28" s="478">
        <f t="shared" si="11"/>
        <v>0</v>
      </c>
      <c r="O28" s="478">
        <f t="shared" si="12"/>
        <v>0</v>
      </c>
      <c r="P28" s="242"/>
    </row>
    <row r="29" spans="2:16" ht="12.5">
      <c r="B29" s="160" t="str">
        <f t="shared" si="7"/>
        <v/>
      </c>
      <c r="C29" s="472">
        <f>IF(D11="","-",+C28+1)</f>
        <v>2025</v>
      </c>
      <c r="D29" s="485">
        <f>IF(F28+SUM(E$17:E28)=D$10,F28,D$10-SUM(E$17:E28))</f>
        <v>682119.39278473472</v>
      </c>
      <c r="E29" s="484">
        <f t="shared" si="5"/>
        <v>26552.615384615383</v>
      </c>
      <c r="F29" s="485">
        <f t="shared" si="22"/>
        <v>655566.77740011935</v>
      </c>
      <c r="G29" s="486">
        <f t="shared" si="23"/>
        <v>104800.61538461538</v>
      </c>
      <c r="H29" s="455">
        <f t="shared" si="24"/>
        <v>104800.61538461538</v>
      </c>
      <c r="I29" s="475">
        <f t="shared" si="6"/>
        <v>0</v>
      </c>
      <c r="J29" s="475"/>
      <c r="K29" s="487"/>
      <c r="L29" s="478">
        <f t="shared" si="25"/>
        <v>0</v>
      </c>
      <c r="M29" s="487"/>
      <c r="N29" s="478">
        <f t="shared" si="11"/>
        <v>0</v>
      </c>
      <c r="O29" s="478">
        <f t="shared" si="12"/>
        <v>0</v>
      </c>
      <c r="P29" s="242"/>
    </row>
    <row r="30" spans="2:16" ht="12.5">
      <c r="B30" s="160" t="str">
        <f t="shared" si="7"/>
        <v/>
      </c>
      <c r="C30" s="472">
        <f>IF(D11="","-",+C29+1)</f>
        <v>2026</v>
      </c>
      <c r="D30" s="485">
        <f>IF(F29+SUM(E$17:E29)=D$10,F29,D$10-SUM(E$17:E29))</f>
        <v>655566.77740011935</v>
      </c>
      <c r="E30" s="484">
        <f t="shared" si="5"/>
        <v>26552.615384615383</v>
      </c>
      <c r="F30" s="485">
        <f t="shared" si="22"/>
        <v>629014.16201550397</v>
      </c>
      <c r="G30" s="486">
        <f t="shared" si="23"/>
        <v>101630.61538461538</v>
      </c>
      <c r="H30" s="455">
        <f t="shared" si="24"/>
        <v>101630.61538461538</v>
      </c>
      <c r="I30" s="475">
        <f t="shared" si="6"/>
        <v>0</v>
      </c>
      <c r="J30" s="475"/>
      <c r="K30" s="487"/>
      <c r="L30" s="478">
        <f t="shared" si="25"/>
        <v>0</v>
      </c>
      <c r="M30" s="487"/>
      <c r="N30" s="478">
        <f t="shared" si="11"/>
        <v>0</v>
      </c>
      <c r="O30" s="478">
        <f t="shared" si="12"/>
        <v>0</v>
      </c>
      <c r="P30" s="242"/>
    </row>
    <row r="31" spans="2:16" ht="12.5">
      <c r="B31" s="160" t="str">
        <f t="shared" si="7"/>
        <v/>
      </c>
      <c r="C31" s="472">
        <f>IF(D11="","-",+C30+1)</f>
        <v>2027</v>
      </c>
      <c r="D31" s="485">
        <f>IF(F30+SUM(E$17:E30)=D$10,F30,D$10-SUM(E$17:E30))</f>
        <v>629014.16201550397</v>
      </c>
      <c r="E31" s="484">
        <f t="shared" si="5"/>
        <v>26552.615384615383</v>
      </c>
      <c r="F31" s="485">
        <f t="shared" si="22"/>
        <v>602461.5466308886</v>
      </c>
      <c r="G31" s="486">
        <f t="shared" si="23"/>
        <v>98461.615384615376</v>
      </c>
      <c r="H31" s="455">
        <f t="shared" si="24"/>
        <v>98461.615384615376</v>
      </c>
      <c r="I31" s="475">
        <f t="shared" si="6"/>
        <v>0</v>
      </c>
      <c r="J31" s="475"/>
      <c r="K31" s="487"/>
      <c r="L31" s="478">
        <f t="shared" si="25"/>
        <v>0</v>
      </c>
      <c r="M31" s="487"/>
      <c r="N31" s="478">
        <f t="shared" si="11"/>
        <v>0</v>
      </c>
      <c r="O31" s="478">
        <f t="shared" si="12"/>
        <v>0</v>
      </c>
      <c r="P31" s="242"/>
    </row>
    <row r="32" spans="2:16" ht="12.5">
      <c r="B32" s="160" t="str">
        <f t="shared" si="7"/>
        <v/>
      </c>
      <c r="C32" s="472">
        <f>IF(D11="","-",+C31+1)</f>
        <v>2028</v>
      </c>
      <c r="D32" s="485">
        <f>IF(F31+SUM(E$17:E31)=D$10,F31,D$10-SUM(E$17:E31))</f>
        <v>602461.5466308886</v>
      </c>
      <c r="E32" s="484">
        <f t="shared" si="5"/>
        <v>26552.615384615383</v>
      </c>
      <c r="F32" s="485">
        <f t="shared" si="22"/>
        <v>575908.93124627322</v>
      </c>
      <c r="G32" s="486">
        <f t="shared" si="23"/>
        <v>95292.615384615376</v>
      </c>
      <c r="H32" s="455">
        <f t="shared" si="24"/>
        <v>95292.615384615376</v>
      </c>
      <c r="I32" s="475">
        <f t="shared" si="6"/>
        <v>0</v>
      </c>
      <c r="J32" s="475"/>
      <c r="K32" s="487"/>
      <c r="L32" s="478">
        <f t="shared" si="25"/>
        <v>0</v>
      </c>
      <c r="M32" s="487"/>
      <c r="N32" s="478">
        <f t="shared" si="11"/>
        <v>0</v>
      </c>
      <c r="O32" s="478">
        <f t="shared" si="12"/>
        <v>0</v>
      </c>
      <c r="P32" s="242"/>
    </row>
    <row r="33" spans="2:16" ht="12.5">
      <c r="B33" s="160" t="str">
        <f t="shared" si="7"/>
        <v/>
      </c>
      <c r="C33" s="472">
        <f>IF(D11="","-",+C32+1)</f>
        <v>2029</v>
      </c>
      <c r="D33" s="485">
        <f>IF(F32+SUM(E$17:E32)=D$10,F32,D$10-SUM(E$17:E32))</f>
        <v>575908.93124627322</v>
      </c>
      <c r="E33" s="484">
        <f t="shared" si="5"/>
        <v>26552.615384615383</v>
      </c>
      <c r="F33" s="485">
        <f t="shared" si="22"/>
        <v>549356.31586165784</v>
      </c>
      <c r="G33" s="486">
        <f t="shared" si="23"/>
        <v>92123.615384615376</v>
      </c>
      <c r="H33" s="455">
        <f t="shared" si="24"/>
        <v>92123.615384615376</v>
      </c>
      <c r="I33" s="475">
        <f t="shared" si="6"/>
        <v>0</v>
      </c>
      <c r="J33" s="475"/>
      <c r="K33" s="487"/>
      <c r="L33" s="478">
        <f t="shared" si="25"/>
        <v>0</v>
      </c>
      <c r="M33" s="487"/>
      <c r="N33" s="478">
        <f t="shared" si="11"/>
        <v>0</v>
      </c>
      <c r="O33" s="478">
        <f t="shared" si="12"/>
        <v>0</v>
      </c>
      <c r="P33" s="242"/>
    </row>
    <row r="34" spans="2:16" ht="12.5">
      <c r="B34" s="160" t="str">
        <f t="shared" si="7"/>
        <v/>
      </c>
      <c r="C34" s="472">
        <f>IF(D11="","-",+C33+1)</f>
        <v>2030</v>
      </c>
      <c r="D34" s="485">
        <f>IF(F33+SUM(E$17:E33)=D$10,F33,D$10-SUM(E$17:E33))</f>
        <v>549356.31586165784</v>
      </c>
      <c r="E34" s="484">
        <f t="shared" si="5"/>
        <v>26552.615384615383</v>
      </c>
      <c r="F34" s="485">
        <f t="shared" si="22"/>
        <v>522803.70047704247</v>
      </c>
      <c r="G34" s="486">
        <f t="shared" si="23"/>
        <v>88953.615384615376</v>
      </c>
      <c r="H34" s="455">
        <f t="shared" si="24"/>
        <v>88953.615384615376</v>
      </c>
      <c r="I34" s="475">
        <f t="shared" si="6"/>
        <v>0</v>
      </c>
      <c r="J34" s="475"/>
      <c r="K34" s="487"/>
      <c r="L34" s="478">
        <f t="shared" si="25"/>
        <v>0</v>
      </c>
      <c r="M34" s="487"/>
      <c r="N34" s="478">
        <f t="shared" si="11"/>
        <v>0</v>
      </c>
      <c r="O34" s="478">
        <f t="shared" si="12"/>
        <v>0</v>
      </c>
      <c r="P34" s="242"/>
    </row>
    <row r="35" spans="2:16" ht="12.5">
      <c r="B35" s="160" t="str">
        <f t="shared" si="7"/>
        <v/>
      </c>
      <c r="C35" s="472">
        <f>IF(D11="","-",+C34+1)</f>
        <v>2031</v>
      </c>
      <c r="D35" s="485">
        <f>IF(F34+SUM(E$17:E34)=D$10,F34,D$10-SUM(E$17:E34))</f>
        <v>522803.70047704247</v>
      </c>
      <c r="E35" s="484">
        <f t="shared" si="5"/>
        <v>26552.615384615383</v>
      </c>
      <c r="F35" s="485">
        <f t="shared" si="22"/>
        <v>496251.08509242709</v>
      </c>
      <c r="G35" s="486">
        <f t="shared" si="23"/>
        <v>85784.615384615376</v>
      </c>
      <c r="H35" s="455">
        <f t="shared" si="24"/>
        <v>85784.615384615376</v>
      </c>
      <c r="I35" s="475">
        <f t="shared" si="6"/>
        <v>0</v>
      </c>
      <c r="J35" s="475"/>
      <c r="K35" s="487"/>
      <c r="L35" s="478">
        <f t="shared" si="25"/>
        <v>0</v>
      </c>
      <c r="M35" s="487"/>
      <c r="N35" s="478">
        <f t="shared" si="11"/>
        <v>0</v>
      </c>
      <c r="O35" s="478">
        <f t="shared" si="12"/>
        <v>0</v>
      </c>
      <c r="P35" s="242"/>
    </row>
    <row r="36" spans="2:16" ht="12.5">
      <c r="B36" s="160" t="str">
        <f t="shared" si="7"/>
        <v/>
      </c>
      <c r="C36" s="472">
        <f>IF(D11="","-",+C35+1)</f>
        <v>2032</v>
      </c>
      <c r="D36" s="485">
        <f>IF(F35+SUM(E$17:E35)=D$10,F35,D$10-SUM(E$17:E35))</f>
        <v>496251.08509242709</v>
      </c>
      <c r="E36" s="484">
        <f t="shared" si="5"/>
        <v>26552.615384615383</v>
      </c>
      <c r="F36" s="485">
        <f t="shared" si="22"/>
        <v>469698.46970781172</v>
      </c>
      <c r="G36" s="486">
        <f t="shared" si="23"/>
        <v>82615.615384615376</v>
      </c>
      <c r="H36" s="455">
        <f t="shared" si="24"/>
        <v>82615.615384615376</v>
      </c>
      <c r="I36" s="475">
        <f t="shared" si="6"/>
        <v>0</v>
      </c>
      <c r="J36" s="475"/>
      <c r="K36" s="487"/>
      <c r="L36" s="478">
        <f t="shared" si="25"/>
        <v>0</v>
      </c>
      <c r="M36" s="487"/>
      <c r="N36" s="478">
        <f t="shared" si="11"/>
        <v>0</v>
      </c>
      <c r="O36" s="478">
        <f t="shared" si="12"/>
        <v>0</v>
      </c>
      <c r="P36" s="242"/>
    </row>
    <row r="37" spans="2:16" ht="12.5">
      <c r="B37" s="160" t="str">
        <f t="shared" si="7"/>
        <v/>
      </c>
      <c r="C37" s="472">
        <f>IF(D11="","-",+C36+1)</f>
        <v>2033</v>
      </c>
      <c r="D37" s="485">
        <f>IF(F36+SUM(E$17:E36)=D$10,F36,D$10-SUM(E$17:E36))</f>
        <v>469698.46970781172</v>
      </c>
      <c r="E37" s="484">
        <f t="shared" si="5"/>
        <v>26552.615384615383</v>
      </c>
      <c r="F37" s="485">
        <f t="shared" si="22"/>
        <v>443145.85432319634</v>
      </c>
      <c r="G37" s="486">
        <f t="shared" si="23"/>
        <v>79445.615384615376</v>
      </c>
      <c r="H37" s="455">
        <f t="shared" si="24"/>
        <v>79445.615384615376</v>
      </c>
      <c r="I37" s="475">
        <f t="shared" si="6"/>
        <v>0</v>
      </c>
      <c r="J37" s="475"/>
      <c r="K37" s="487"/>
      <c r="L37" s="478">
        <f t="shared" si="25"/>
        <v>0</v>
      </c>
      <c r="M37" s="487"/>
      <c r="N37" s="478">
        <f t="shared" si="11"/>
        <v>0</v>
      </c>
      <c r="O37" s="478">
        <f t="shared" si="12"/>
        <v>0</v>
      </c>
      <c r="P37" s="242"/>
    </row>
    <row r="38" spans="2:16" ht="12.5">
      <c r="B38" s="160" t="str">
        <f t="shared" si="7"/>
        <v/>
      </c>
      <c r="C38" s="472">
        <f>IF(D11="","-",+C37+1)</f>
        <v>2034</v>
      </c>
      <c r="D38" s="485">
        <f>IF(F37+SUM(E$17:E37)=D$10,F37,D$10-SUM(E$17:E37))</f>
        <v>443145.85432319634</v>
      </c>
      <c r="E38" s="484">
        <f t="shared" si="5"/>
        <v>26552.615384615383</v>
      </c>
      <c r="F38" s="485">
        <f t="shared" si="22"/>
        <v>416593.23893858097</v>
      </c>
      <c r="G38" s="486">
        <f t="shared" si="23"/>
        <v>76276.615384615376</v>
      </c>
      <c r="H38" s="455">
        <f t="shared" si="24"/>
        <v>76276.615384615376</v>
      </c>
      <c r="I38" s="475">
        <f t="shared" si="6"/>
        <v>0</v>
      </c>
      <c r="J38" s="475"/>
      <c r="K38" s="487"/>
      <c r="L38" s="478">
        <f t="shared" si="25"/>
        <v>0</v>
      </c>
      <c r="M38" s="487"/>
      <c r="N38" s="478">
        <f t="shared" si="11"/>
        <v>0</v>
      </c>
      <c r="O38" s="478">
        <f t="shared" si="12"/>
        <v>0</v>
      </c>
      <c r="P38" s="242"/>
    </row>
    <row r="39" spans="2:16" ht="12.5">
      <c r="B39" s="160" t="str">
        <f t="shared" si="7"/>
        <v/>
      </c>
      <c r="C39" s="472">
        <f>IF(D11="","-",+C38+1)</f>
        <v>2035</v>
      </c>
      <c r="D39" s="485">
        <f>IF(F38+SUM(E$17:E38)=D$10,F38,D$10-SUM(E$17:E38))</f>
        <v>416593.23893858097</v>
      </c>
      <c r="E39" s="484">
        <f t="shared" si="5"/>
        <v>26552.615384615383</v>
      </c>
      <c r="F39" s="485">
        <f t="shared" si="22"/>
        <v>390040.62355396559</v>
      </c>
      <c r="G39" s="486">
        <f t="shared" si="23"/>
        <v>73107.615384615376</v>
      </c>
      <c r="H39" s="455">
        <f t="shared" si="24"/>
        <v>73107.615384615376</v>
      </c>
      <c r="I39" s="475">
        <f t="shared" si="6"/>
        <v>0</v>
      </c>
      <c r="J39" s="475"/>
      <c r="K39" s="487"/>
      <c r="L39" s="478">
        <f t="shared" si="25"/>
        <v>0</v>
      </c>
      <c r="M39" s="487"/>
      <c r="N39" s="478">
        <f t="shared" si="11"/>
        <v>0</v>
      </c>
      <c r="O39" s="478">
        <f t="shared" si="12"/>
        <v>0</v>
      </c>
      <c r="P39" s="242"/>
    </row>
    <row r="40" spans="2:16" ht="12.5">
      <c r="B40" s="160" t="str">
        <f t="shared" si="7"/>
        <v/>
      </c>
      <c r="C40" s="472">
        <f>IF(D11="","-",+C39+1)</f>
        <v>2036</v>
      </c>
      <c r="D40" s="485">
        <f>IF(F39+SUM(E$17:E39)=D$10,F39,D$10-SUM(E$17:E39))</f>
        <v>390040.62355396559</v>
      </c>
      <c r="E40" s="484">
        <f t="shared" si="5"/>
        <v>26552.615384615383</v>
      </c>
      <c r="F40" s="485">
        <f t="shared" si="22"/>
        <v>363488.00816935021</v>
      </c>
      <c r="G40" s="486">
        <f t="shared" si="23"/>
        <v>69938.615384615376</v>
      </c>
      <c r="H40" s="455">
        <f t="shared" si="24"/>
        <v>69938.615384615376</v>
      </c>
      <c r="I40" s="475">
        <f t="shared" si="6"/>
        <v>0</v>
      </c>
      <c r="J40" s="475"/>
      <c r="K40" s="487"/>
      <c r="L40" s="478">
        <f t="shared" si="25"/>
        <v>0</v>
      </c>
      <c r="M40" s="487"/>
      <c r="N40" s="478">
        <f t="shared" si="11"/>
        <v>0</v>
      </c>
      <c r="O40" s="478">
        <f t="shared" si="12"/>
        <v>0</v>
      </c>
      <c r="P40" s="242"/>
    </row>
    <row r="41" spans="2:16" ht="12.5">
      <c r="B41" s="160" t="str">
        <f t="shared" si="7"/>
        <v/>
      </c>
      <c r="C41" s="472">
        <f>IF(D11="","-",+C40+1)</f>
        <v>2037</v>
      </c>
      <c r="D41" s="485">
        <f>IF(F40+SUM(E$17:E40)=D$10,F40,D$10-SUM(E$17:E40))</f>
        <v>363488.00816935021</v>
      </c>
      <c r="E41" s="484">
        <f t="shared" si="5"/>
        <v>26552.615384615383</v>
      </c>
      <c r="F41" s="485">
        <f t="shared" si="22"/>
        <v>336935.39278473484</v>
      </c>
      <c r="G41" s="486">
        <f t="shared" si="23"/>
        <v>66768.615384615376</v>
      </c>
      <c r="H41" s="455">
        <f t="shared" si="24"/>
        <v>66768.615384615376</v>
      </c>
      <c r="I41" s="475">
        <f t="shared" si="6"/>
        <v>0</v>
      </c>
      <c r="J41" s="475"/>
      <c r="K41" s="487"/>
      <c r="L41" s="478">
        <f t="shared" si="25"/>
        <v>0</v>
      </c>
      <c r="M41" s="487"/>
      <c r="N41" s="478">
        <f t="shared" si="11"/>
        <v>0</v>
      </c>
      <c r="O41" s="478">
        <f t="shared" si="12"/>
        <v>0</v>
      </c>
      <c r="P41" s="242"/>
    </row>
    <row r="42" spans="2:16" ht="12.5">
      <c r="B42" s="160" t="str">
        <f t="shared" si="7"/>
        <v/>
      </c>
      <c r="C42" s="472">
        <f>IF(D11="","-",+C41+1)</f>
        <v>2038</v>
      </c>
      <c r="D42" s="485">
        <f>IF(F41+SUM(E$17:E41)=D$10,F41,D$10-SUM(E$17:E41))</f>
        <v>336935.39278473484</v>
      </c>
      <c r="E42" s="484">
        <f t="shared" si="5"/>
        <v>26552.615384615383</v>
      </c>
      <c r="F42" s="485">
        <f t="shared" si="22"/>
        <v>310382.77740011946</v>
      </c>
      <c r="G42" s="486">
        <f t="shared" si="23"/>
        <v>63599.615384615383</v>
      </c>
      <c r="H42" s="455">
        <f t="shared" si="24"/>
        <v>63599.615384615383</v>
      </c>
      <c r="I42" s="475">
        <f t="shared" si="6"/>
        <v>0</v>
      </c>
      <c r="J42" s="475"/>
      <c r="K42" s="487"/>
      <c r="L42" s="478">
        <f t="shared" si="25"/>
        <v>0</v>
      </c>
      <c r="M42" s="487"/>
      <c r="N42" s="478">
        <f t="shared" si="11"/>
        <v>0</v>
      </c>
      <c r="O42" s="478">
        <f t="shared" si="12"/>
        <v>0</v>
      </c>
      <c r="P42" s="242"/>
    </row>
    <row r="43" spans="2:16" ht="12.5">
      <c r="B43" s="160" t="str">
        <f t="shared" si="7"/>
        <v/>
      </c>
      <c r="C43" s="472">
        <f>IF(D11="","-",+C42+1)</f>
        <v>2039</v>
      </c>
      <c r="D43" s="485">
        <f>IF(F42+SUM(E$17:E42)=D$10,F42,D$10-SUM(E$17:E42))</f>
        <v>310382.77740011946</v>
      </c>
      <c r="E43" s="484">
        <f t="shared" si="5"/>
        <v>26552.615384615383</v>
      </c>
      <c r="F43" s="485">
        <f t="shared" si="22"/>
        <v>283830.16201550409</v>
      </c>
      <c r="G43" s="486">
        <f t="shared" si="23"/>
        <v>60430.615384615383</v>
      </c>
      <c r="H43" s="455">
        <f t="shared" si="24"/>
        <v>60430.615384615383</v>
      </c>
      <c r="I43" s="475">
        <f t="shared" si="6"/>
        <v>0</v>
      </c>
      <c r="J43" s="475"/>
      <c r="K43" s="487"/>
      <c r="L43" s="478">
        <f t="shared" si="25"/>
        <v>0</v>
      </c>
      <c r="M43" s="487"/>
      <c r="N43" s="478">
        <f t="shared" si="11"/>
        <v>0</v>
      </c>
      <c r="O43" s="478">
        <f t="shared" si="12"/>
        <v>0</v>
      </c>
      <c r="P43" s="242"/>
    </row>
    <row r="44" spans="2:16" ht="12.5">
      <c r="B44" s="160" t="str">
        <f t="shared" si="7"/>
        <v/>
      </c>
      <c r="C44" s="472">
        <f>IF(D11="","-",+C43+1)</f>
        <v>2040</v>
      </c>
      <c r="D44" s="485">
        <f>IF(F43+SUM(E$17:E43)=D$10,F43,D$10-SUM(E$17:E43))</f>
        <v>283830.16201550409</v>
      </c>
      <c r="E44" s="484">
        <f t="shared" si="5"/>
        <v>26552.615384615383</v>
      </c>
      <c r="F44" s="485">
        <f t="shared" si="22"/>
        <v>257277.54663088871</v>
      </c>
      <c r="G44" s="486">
        <f t="shared" si="23"/>
        <v>57260.615384615383</v>
      </c>
      <c r="H44" s="455">
        <f t="shared" si="24"/>
        <v>57260.615384615383</v>
      </c>
      <c r="I44" s="475">
        <f t="shared" si="6"/>
        <v>0</v>
      </c>
      <c r="J44" s="475"/>
      <c r="K44" s="487"/>
      <c r="L44" s="478">
        <f t="shared" si="25"/>
        <v>0</v>
      </c>
      <c r="M44" s="487"/>
      <c r="N44" s="478">
        <f t="shared" si="11"/>
        <v>0</v>
      </c>
      <c r="O44" s="478">
        <f t="shared" si="12"/>
        <v>0</v>
      </c>
      <c r="P44" s="242"/>
    </row>
    <row r="45" spans="2:16" ht="12.5">
      <c r="B45" s="160" t="str">
        <f t="shared" si="7"/>
        <v/>
      </c>
      <c r="C45" s="472">
        <f>IF(D11="","-",+C44+1)</f>
        <v>2041</v>
      </c>
      <c r="D45" s="485">
        <f>IF(F44+SUM(E$17:E44)=D$10,F44,D$10-SUM(E$17:E44))</f>
        <v>257277.54663088871</v>
      </c>
      <c r="E45" s="484">
        <f t="shared" si="5"/>
        <v>26552.615384615383</v>
      </c>
      <c r="F45" s="485">
        <f t="shared" si="22"/>
        <v>230724.93124627334</v>
      </c>
      <c r="G45" s="486">
        <f t="shared" si="23"/>
        <v>54091.615384615383</v>
      </c>
      <c r="H45" s="455">
        <f t="shared" si="24"/>
        <v>54091.615384615383</v>
      </c>
      <c r="I45" s="475">
        <f t="shared" si="6"/>
        <v>0</v>
      </c>
      <c r="J45" s="475"/>
      <c r="K45" s="487"/>
      <c r="L45" s="478">
        <f t="shared" si="25"/>
        <v>0</v>
      </c>
      <c r="M45" s="487"/>
      <c r="N45" s="478">
        <f t="shared" si="11"/>
        <v>0</v>
      </c>
      <c r="O45" s="478">
        <f t="shared" si="12"/>
        <v>0</v>
      </c>
      <c r="P45" s="242"/>
    </row>
    <row r="46" spans="2:16" ht="12.5">
      <c r="B46" s="160" t="str">
        <f t="shared" si="7"/>
        <v/>
      </c>
      <c r="C46" s="472">
        <f>IF(D11="","-",+C45+1)</f>
        <v>2042</v>
      </c>
      <c r="D46" s="485">
        <f>IF(F45+SUM(E$17:E45)=D$10,F45,D$10-SUM(E$17:E45))</f>
        <v>230724.93124627334</v>
      </c>
      <c r="E46" s="484">
        <f t="shared" si="5"/>
        <v>26552.615384615383</v>
      </c>
      <c r="F46" s="485">
        <f t="shared" si="22"/>
        <v>204172.31586165796</v>
      </c>
      <c r="G46" s="486">
        <f t="shared" si="23"/>
        <v>50922.615384615383</v>
      </c>
      <c r="H46" s="455">
        <f t="shared" si="24"/>
        <v>50922.615384615383</v>
      </c>
      <c r="I46" s="475">
        <f t="shared" si="6"/>
        <v>0</v>
      </c>
      <c r="J46" s="475"/>
      <c r="K46" s="487"/>
      <c r="L46" s="478">
        <f t="shared" si="25"/>
        <v>0</v>
      </c>
      <c r="M46" s="487"/>
      <c r="N46" s="478">
        <f t="shared" si="11"/>
        <v>0</v>
      </c>
      <c r="O46" s="478">
        <f t="shared" si="12"/>
        <v>0</v>
      </c>
      <c r="P46" s="242"/>
    </row>
    <row r="47" spans="2:16" ht="12.5">
      <c r="B47" s="160" t="str">
        <f t="shared" si="7"/>
        <v/>
      </c>
      <c r="C47" s="472">
        <f>IF(D11="","-",+C46+1)</f>
        <v>2043</v>
      </c>
      <c r="D47" s="485">
        <f>IF(F46+SUM(E$17:E46)=D$10,F46,D$10-SUM(E$17:E46))</f>
        <v>204172.31586165796</v>
      </c>
      <c r="E47" s="484">
        <f t="shared" si="5"/>
        <v>26552.615384615383</v>
      </c>
      <c r="F47" s="485">
        <f t="shared" si="22"/>
        <v>177619.70047704258</v>
      </c>
      <c r="G47" s="486">
        <f t="shared" si="23"/>
        <v>47753.615384615383</v>
      </c>
      <c r="H47" s="455">
        <f t="shared" si="24"/>
        <v>47753.615384615383</v>
      </c>
      <c r="I47" s="475">
        <f t="shared" si="6"/>
        <v>0</v>
      </c>
      <c r="J47" s="475"/>
      <c r="K47" s="487"/>
      <c r="L47" s="478">
        <f t="shared" si="25"/>
        <v>0</v>
      </c>
      <c r="M47" s="487"/>
      <c r="N47" s="478">
        <f t="shared" si="11"/>
        <v>0</v>
      </c>
      <c r="O47" s="478">
        <f t="shared" si="12"/>
        <v>0</v>
      </c>
      <c r="P47" s="242"/>
    </row>
    <row r="48" spans="2:16" ht="12.5">
      <c r="B48" s="160" t="str">
        <f t="shared" si="7"/>
        <v/>
      </c>
      <c r="C48" s="472">
        <f>IF(D11="","-",+C47+1)</f>
        <v>2044</v>
      </c>
      <c r="D48" s="485">
        <f>IF(F47+SUM(E$17:E47)=D$10,F47,D$10-SUM(E$17:E47))</f>
        <v>177619.70047704258</v>
      </c>
      <c r="E48" s="484">
        <f t="shared" si="5"/>
        <v>26552.615384615383</v>
      </c>
      <c r="F48" s="485">
        <f t="shared" si="22"/>
        <v>151067.08509242721</v>
      </c>
      <c r="G48" s="486">
        <f t="shared" si="23"/>
        <v>44583.615384615383</v>
      </c>
      <c r="H48" s="455">
        <f t="shared" si="24"/>
        <v>44583.615384615383</v>
      </c>
      <c r="I48" s="475">
        <f t="shared" si="6"/>
        <v>0</v>
      </c>
      <c r="J48" s="475"/>
      <c r="K48" s="487"/>
      <c r="L48" s="478">
        <f t="shared" si="25"/>
        <v>0</v>
      </c>
      <c r="M48" s="487"/>
      <c r="N48" s="478">
        <f t="shared" si="11"/>
        <v>0</v>
      </c>
      <c r="O48" s="478">
        <f t="shared" si="12"/>
        <v>0</v>
      </c>
      <c r="P48" s="242"/>
    </row>
    <row r="49" spans="2:16" ht="12.5">
      <c r="B49" s="160" t="str">
        <f t="shared" si="7"/>
        <v/>
      </c>
      <c r="C49" s="472">
        <f>IF(D11="","-",+C48+1)</f>
        <v>2045</v>
      </c>
      <c r="D49" s="485">
        <f>IF(F48+SUM(E$17:E48)=D$10,F48,D$10-SUM(E$17:E48))</f>
        <v>151067.08509242721</v>
      </c>
      <c r="E49" s="484">
        <f t="shared" si="5"/>
        <v>26552.615384615383</v>
      </c>
      <c r="F49" s="485">
        <f t="shared" si="22"/>
        <v>124514.46970781183</v>
      </c>
      <c r="G49" s="486">
        <f t="shared" si="23"/>
        <v>41414.615384615383</v>
      </c>
      <c r="H49" s="455">
        <f t="shared" si="24"/>
        <v>41414.615384615383</v>
      </c>
      <c r="I49" s="475">
        <f t="shared" si="6"/>
        <v>0</v>
      </c>
      <c r="J49" s="475"/>
      <c r="K49" s="487"/>
      <c r="L49" s="478">
        <f t="shared" si="25"/>
        <v>0</v>
      </c>
      <c r="M49" s="487"/>
      <c r="N49" s="478">
        <f t="shared" si="11"/>
        <v>0</v>
      </c>
      <c r="O49" s="478">
        <f t="shared" si="12"/>
        <v>0</v>
      </c>
      <c r="P49" s="242"/>
    </row>
    <row r="50" spans="2:16" ht="12.5">
      <c r="B50" s="160" t="str">
        <f t="shared" si="7"/>
        <v/>
      </c>
      <c r="C50" s="472">
        <f>IF(D11="","-",+C49+1)</f>
        <v>2046</v>
      </c>
      <c r="D50" s="485">
        <f>IF(F49+SUM(E$17:E49)=D$10,F49,D$10-SUM(E$17:E49))</f>
        <v>124514.46970781183</v>
      </c>
      <c r="E50" s="484">
        <f t="shared" si="5"/>
        <v>26552.615384615383</v>
      </c>
      <c r="F50" s="485">
        <f t="shared" si="22"/>
        <v>97961.854323196458</v>
      </c>
      <c r="G50" s="486">
        <f t="shared" si="23"/>
        <v>38245.615384615383</v>
      </c>
      <c r="H50" s="455">
        <f t="shared" si="24"/>
        <v>38245.615384615383</v>
      </c>
      <c r="I50" s="475">
        <f t="shared" si="6"/>
        <v>0</v>
      </c>
      <c r="J50" s="475"/>
      <c r="K50" s="487"/>
      <c r="L50" s="478">
        <f t="shared" si="25"/>
        <v>0</v>
      </c>
      <c r="M50" s="487"/>
      <c r="N50" s="478">
        <f t="shared" si="11"/>
        <v>0</v>
      </c>
      <c r="O50" s="478">
        <f t="shared" si="12"/>
        <v>0</v>
      </c>
      <c r="P50" s="242"/>
    </row>
    <row r="51" spans="2:16" ht="12.5">
      <c r="B51" s="160" t="str">
        <f t="shared" si="7"/>
        <v/>
      </c>
      <c r="C51" s="472">
        <f>IF(D11="","-",+C50+1)</f>
        <v>2047</v>
      </c>
      <c r="D51" s="485">
        <f>IF(F50+SUM(E$17:E50)=D$10,F50,D$10-SUM(E$17:E50))</f>
        <v>97961.854323196458</v>
      </c>
      <c r="E51" s="484">
        <f t="shared" si="5"/>
        <v>26552.615384615383</v>
      </c>
      <c r="F51" s="485">
        <f t="shared" si="22"/>
        <v>71409.238938581082</v>
      </c>
      <c r="G51" s="486">
        <f t="shared" si="23"/>
        <v>35075.615384615383</v>
      </c>
      <c r="H51" s="455">
        <f t="shared" si="24"/>
        <v>35075.615384615383</v>
      </c>
      <c r="I51" s="475">
        <f t="shared" si="6"/>
        <v>0</v>
      </c>
      <c r="J51" s="475"/>
      <c r="K51" s="487"/>
      <c r="L51" s="478">
        <f t="shared" si="25"/>
        <v>0</v>
      </c>
      <c r="M51" s="487"/>
      <c r="N51" s="478">
        <f t="shared" si="11"/>
        <v>0</v>
      </c>
      <c r="O51" s="478">
        <f t="shared" si="12"/>
        <v>0</v>
      </c>
      <c r="P51" s="242"/>
    </row>
    <row r="52" spans="2:16" ht="12.5">
      <c r="B52" s="160" t="str">
        <f t="shared" si="7"/>
        <v/>
      </c>
      <c r="C52" s="472">
        <f>IF(D11="","-",+C51+1)</f>
        <v>2048</v>
      </c>
      <c r="D52" s="485">
        <f>IF(F51+SUM(E$17:E51)=D$10,F51,D$10-SUM(E$17:E51))</f>
        <v>71409.238938581082</v>
      </c>
      <c r="E52" s="484">
        <f t="shared" si="5"/>
        <v>26552.615384615383</v>
      </c>
      <c r="F52" s="485">
        <f t="shared" si="22"/>
        <v>44856.623553965699</v>
      </c>
      <c r="G52" s="486">
        <f t="shared" si="23"/>
        <v>31906.615384615383</v>
      </c>
      <c r="H52" s="455">
        <f t="shared" si="24"/>
        <v>31906.615384615383</v>
      </c>
      <c r="I52" s="475">
        <f t="shared" si="6"/>
        <v>0</v>
      </c>
      <c r="J52" s="475"/>
      <c r="K52" s="487"/>
      <c r="L52" s="478">
        <f t="shared" si="25"/>
        <v>0</v>
      </c>
      <c r="M52" s="487"/>
      <c r="N52" s="478">
        <f t="shared" si="11"/>
        <v>0</v>
      </c>
      <c r="O52" s="478">
        <f t="shared" si="12"/>
        <v>0</v>
      </c>
      <c r="P52" s="242"/>
    </row>
    <row r="53" spans="2:16" ht="12.5">
      <c r="B53" s="160" t="str">
        <f t="shared" si="7"/>
        <v/>
      </c>
      <c r="C53" s="472">
        <f>IF(D11="","-",+C52+1)</f>
        <v>2049</v>
      </c>
      <c r="D53" s="485">
        <f>IF(F52+SUM(E$17:E52)=D$10,F52,D$10-SUM(E$17:E52))</f>
        <v>44856.623553965699</v>
      </c>
      <c r="E53" s="484">
        <f t="shared" si="5"/>
        <v>26552.615384615383</v>
      </c>
      <c r="F53" s="485">
        <f t="shared" si="22"/>
        <v>18304.008169350316</v>
      </c>
      <c r="G53" s="486">
        <f t="shared" si="23"/>
        <v>28737.615384615383</v>
      </c>
      <c r="H53" s="455">
        <f t="shared" si="24"/>
        <v>28737.615384615383</v>
      </c>
      <c r="I53" s="475">
        <f t="shared" si="6"/>
        <v>0</v>
      </c>
      <c r="J53" s="475"/>
      <c r="K53" s="487"/>
      <c r="L53" s="478">
        <f t="shared" si="25"/>
        <v>0</v>
      </c>
      <c r="M53" s="487"/>
      <c r="N53" s="478">
        <f t="shared" si="11"/>
        <v>0</v>
      </c>
      <c r="O53" s="478">
        <f t="shared" si="12"/>
        <v>0</v>
      </c>
      <c r="P53" s="242"/>
    </row>
    <row r="54" spans="2:16" ht="12.5">
      <c r="B54" s="160" t="str">
        <f t="shared" si="7"/>
        <v/>
      </c>
      <c r="C54" s="472">
        <f>IF(D11="","-",+C53+1)</f>
        <v>2050</v>
      </c>
      <c r="D54" s="485">
        <f>IF(F53+SUM(E$17:E53)=D$10,F53,D$10-SUM(E$17:E53))</f>
        <v>18304.008169350316</v>
      </c>
      <c r="E54" s="484">
        <f t="shared" si="5"/>
        <v>18304.008169350316</v>
      </c>
      <c r="F54" s="485">
        <f t="shared" si="22"/>
        <v>0</v>
      </c>
      <c r="G54" s="486">
        <f t="shared" si="23"/>
        <v>18304.008169350316</v>
      </c>
      <c r="H54" s="455">
        <f t="shared" si="24"/>
        <v>18304.008169350316</v>
      </c>
      <c r="I54" s="475">
        <f t="shared" si="6"/>
        <v>0</v>
      </c>
      <c r="J54" s="475"/>
      <c r="K54" s="487"/>
      <c r="L54" s="478">
        <f t="shared" si="25"/>
        <v>0</v>
      </c>
      <c r="M54" s="487"/>
      <c r="N54" s="478">
        <f t="shared" si="11"/>
        <v>0</v>
      </c>
      <c r="O54" s="478">
        <f t="shared" si="12"/>
        <v>0</v>
      </c>
      <c r="P54" s="242"/>
    </row>
    <row r="55" spans="2:16" ht="12.5">
      <c r="B55" s="160" t="str">
        <f t="shared" si="7"/>
        <v/>
      </c>
      <c r="C55" s="472">
        <f>IF(D11="","-",+C54+1)</f>
        <v>2051</v>
      </c>
      <c r="D55" s="485">
        <f>IF(F54+SUM(E$17:E54)=D$10,F54,D$10-SUM(E$17:E54))</f>
        <v>0</v>
      </c>
      <c r="E55" s="484">
        <f t="shared" si="5"/>
        <v>0</v>
      </c>
      <c r="F55" s="485">
        <f t="shared" si="22"/>
        <v>0</v>
      </c>
      <c r="G55" s="486">
        <f t="shared" si="23"/>
        <v>0</v>
      </c>
      <c r="H55" s="455">
        <f t="shared" si="24"/>
        <v>0</v>
      </c>
      <c r="I55" s="475">
        <f t="shared" si="6"/>
        <v>0</v>
      </c>
      <c r="J55" s="475"/>
      <c r="K55" s="487"/>
      <c r="L55" s="478">
        <f t="shared" si="25"/>
        <v>0</v>
      </c>
      <c r="M55" s="487"/>
      <c r="N55" s="478">
        <f t="shared" si="11"/>
        <v>0</v>
      </c>
      <c r="O55" s="478">
        <f t="shared" si="12"/>
        <v>0</v>
      </c>
      <c r="P55" s="242"/>
    </row>
    <row r="56" spans="2:16" ht="12.5">
      <c r="B56" s="160" t="str">
        <f t="shared" si="7"/>
        <v/>
      </c>
      <c r="C56" s="472">
        <f>IF(D11="","-",+C55+1)</f>
        <v>2052</v>
      </c>
      <c r="D56" s="485">
        <f>IF(F55+SUM(E$17:E55)=D$10,F55,D$10-SUM(E$17:E55))</f>
        <v>0</v>
      </c>
      <c r="E56" s="484">
        <f t="shared" si="5"/>
        <v>0</v>
      </c>
      <c r="F56" s="485">
        <f t="shared" si="22"/>
        <v>0</v>
      </c>
      <c r="G56" s="486">
        <f t="shared" si="23"/>
        <v>0</v>
      </c>
      <c r="H56" s="455">
        <f t="shared" si="24"/>
        <v>0</v>
      </c>
      <c r="I56" s="475">
        <f t="shared" si="6"/>
        <v>0</v>
      </c>
      <c r="J56" s="475"/>
      <c r="K56" s="487"/>
      <c r="L56" s="478">
        <f t="shared" si="25"/>
        <v>0</v>
      </c>
      <c r="M56" s="487"/>
      <c r="N56" s="478">
        <f t="shared" si="11"/>
        <v>0</v>
      </c>
      <c r="O56" s="478">
        <f t="shared" si="12"/>
        <v>0</v>
      </c>
      <c r="P56" s="242"/>
    </row>
    <row r="57" spans="2:16" ht="12.5">
      <c r="B57" s="160" t="str">
        <f t="shared" si="7"/>
        <v/>
      </c>
      <c r="C57" s="472">
        <f>IF(D11="","-",+C56+1)</f>
        <v>2053</v>
      </c>
      <c r="D57" s="485">
        <f>IF(F56+SUM(E$17:E56)=D$10,F56,D$10-SUM(E$17:E56))</f>
        <v>0</v>
      </c>
      <c r="E57" s="484">
        <f t="shared" si="5"/>
        <v>0</v>
      </c>
      <c r="F57" s="485">
        <f t="shared" si="22"/>
        <v>0</v>
      </c>
      <c r="G57" s="486">
        <f t="shared" si="23"/>
        <v>0</v>
      </c>
      <c r="H57" s="455">
        <f t="shared" si="24"/>
        <v>0</v>
      </c>
      <c r="I57" s="475">
        <f t="shared" si="6"/>
        <v>0</v>
      </c>
      <c r="J57" s="475"/>
      <c r="K57" s="487"/>
      <c r="L57" s="478">
        <f t="shared" si="25"/>
        <v>0</v>
      </c>
      <c r="M57" s="487"/>
      <c r="N57" s="478">
        <f t="shared" si="11"/>
        <v>0</v>
      </c>
      <c r="O57" s="478">
        <f t="shared" si="12"/>
        <v>0</v>
      </c>
      <c r="P57" s="242"/>
    </row>
    <row r="58" spans="2:16" ht="12.5">
      <c r="B58" s="160" t="str">
        <f t="shared" si="7"/>
        <v/>
      </c>
      <c r="C58" s="472">
        <f>IF(D11="","-",+C57+1)</f>
        <v>2054</v>
      </c>
      <c r="D58" s="485">
        <f>IF(F57+SUM(E$17:E57)=D$10,F57,D$10-SUM(E$17:E57))</f>
        <v>0</v>
      </c>
      <c r="E58" s="484">
        <f t="shared" si="5"/>
        <v>0</v>
      </c>
      <c r="F58" s="485">
        <f t="shared" si="22"/>
        <v>0</v>
      </c>
      <c r="G58" s="486">
        <f t="shared" si="23"/>
        <v>0</v>
      </c>
      <c r="H58" s="455">
        <f t="shared" si="24"/>
        <v>0</v>
      </c>
      <c r="I58" s="475">
        <f t="shared" si="6"/>
        <v>0</v>
      </c>
      <c r="J58" s="475"/>
      <c r="K58" s="487"/>
      <c r="L58" s="478">
        <f t="shared" si="25"/>
        <v>0</v>
      </c>
      <c r="M58" s="487"/>
      <c r="N58" s="478">
        <f t="shared" si="11"/>
        <v>0</v>
      </c>
      <c r="O58" s="478">
        <f t="shared" si="12"/>
        <v>0</v>
      </c>
      <c r="P58" s="242"/>
    </row>
    <row r="59" spans="2:16" ht="12.5">
      <c r="B59" s="160" t="str">
        <f t="shared" si="7"/>
        <v/>
      </c>
      <c r="C59" s="472">
        <f>IF(D11="","-",+C58+1)</f>
        <v>2055</v>
      </c>
      <c r="D59" s="485">
        <f>IF(F58+SUM(E$17:E58)=D$10,F58,D$10-SUM(E$17:E58))</f>
        <v>0</v>
      </c>
      <c r="E59" s="484">
        <f t="shared" si="5"/>
        <v>0</v>
      </c>
      <c r="F59" s="485">
        <f t="shared" si="22"/>
        <v>0</v>
      </c>
      <c r="G59" s="486">
        <f t="shared" si="23"/>
        <v>0</v>
      </c>
      <c r="H59" s="455">
        <f t="shared" si="24"/>
        <v>0</v>
      </c>
      <c r="I59" s="475">
        <f t="shared" si="6"/>
        <v>0</v>
      </c>
      <c r="J59" s="475"/>
      <c r="K59" s="487"/>
      <c r="L59" s="478">
        <f t="shared" si="25"/>
        <v>0</v>
      </c>
      <c r="M59" s="487"/>
      <c r="N59" s="478">
        <f t="shared" si="11"/>
        <v>0</v>
      </c>
      <c r="O59" s="478">
        <f t="shared" si="12"/>
        <v>0</v>
      </c>
      <c r="P59" s="242"/>
    </row>
    <row r="60" spans="2:16" ht="12.5">
      <c r="B60" s="160" t="str">
        <f t="shared" si="7"/>
        <v/>
      </c>
      <c r="C60" s="472">
        <f>IF(D11="","-",+C59+1)</f>
        <v>2056</v>
      </c>
      <c r="D60" s="485">
        <f>IF(F59+SUM(E$17:E59)=D$10,F59,D$10-SUM(E$17:E59))</f>
        <v>0</v>
      </c>
      <c r="E60" s="484">
        <f t="shared" si="5"/>
        <v>0</v>
      </c>
      <c r="F60" s="485">
        <f t="shared" si="22"/>
        <v>0</v>
      </c>
      <c r="G60" s="486">
        <f t="shared" si="23"/>
        <v>0</v>
      </c>
      <c r="H60" s="455">
        <f t="shared" si="24"/>
        <v>0</v>
      </c>
      <c r="I60" s="475">
        <f t="shared" si="6"/>
        <v>0</v>
      </c>
      <c r="J60" s="475"/>
      <c r="K60" s="487"/>
      <c r="L60" s="478">
        <f t="shared" si="25"/>
        <v>0</v>
      </c>
      <c r="M60" s="487"/>
      <c r="N60" s="478">
        <f t="shared" si="11"/>
        <v>0</v>
      </c>
      <c r="O60" s="478">
        <f t="shared" si="12"/>
        <v>0</v>
      </c>
      <c r="P60" s="242"/>
    </row>
    <row r="61" spans="2:16" ht="12.5">
      <c r="B61" s="160" t="str">
        <f t="shared" si="7"/>
        <v/>
      </c>
      <c r="C61" s="472">
        <f>IF(D11="","-",+C60+1)</f>
        <v>2057</v>
      </c>
      <c r="D61" s="485">
        <f>IF(F60+SUM(E$17:E60)=D$10,F60,D$10-SUM(E$17:E60))</f>
        <v>0</v>
      </c>
      <c r="E61" s="484">
        <f t="shared" si="5"/>
        <v>0</v>
      </c>
      <c r="F61" s="485">
        <f t="shared" si="22"/>
        <v>0</v>
      </c>
      <c r="G61" s="486">
        <f t="shared" si="23"/>
        <v>0</v>
      </c>
      <c r="H61" s="455">
        <f t="shared" si="24"/>
        <v>0</v>
      </c>
      <c r="I61" s="475">
        <f t="shared" si="6"/>
        <v>0</v>
      </c>
      <c r="J61" s="475"/>
      <c r="K61" s="487"/>
      <c r="L61" s="478">
        <f t="shared" si="25"/>
        <v>0</v>
      </c>
      <c r="M61" s="487"/>
      <c r="N61" s="478">
        <f t="shared" si="11"/>
        <v>0</v>
      </c>
      <c r="O61" s="478">
        <f t="shared" si="12"/>
        <v>0</v>
      </c>
      <c r="P61" s="242"/>
    </row>
    <row r="62" spans="2:16" ht="12.5">
      <c r="B62" s="160" t="str">
        <f t="shared" si="7"/>
        <v/>
      </c>
      <c r="C62" s="472">
        <f>IF(D11="","-",+C61+1)</f>
        <v>2058</v>
      </c>
      <c r="D62" s="485">
        <f>IF(F61+SUM(E$17:E61)=D$10,F61,D$10-SUM(E$17:E61))</f>
        <v>0</v>
      </c>
      <c r="E62" s="484">
        <f t="shared" si="5"/>
        <v>0</v>
      </c>
      <c r="F62" s="485">
        <f t="shared" si="22"/>
        <v>0</v>
      </c>
      <c r="G62" s="486">
        <f t="shared" si="23"/>
        <v>0</v>
      </c>
      <c r="H62" s="455">
        <f t="shared" si="24"/>
        <v>0</v>
      </c>
      <c r="I62" s="475">
        <f t="shared" si="6"/>
        <v>0</v>
      </c>
      <c r="J62" s="475"/>
      <c r="K62" s="487"/>
      <c r="L62" s="478">
        <f t="shared" si="25"/>
        <v>0</v>
      </c>
      <c r="M62" s="487"/>
      <c r="N62" s="478">
        <f t="shared" si="11"/>
        <v>0</v>
      </c>
      <c r="O62" s="478">
        <f t="shared" si="12"/>
        <v>0</v>
      </c>
      <c r="P62" s="242"/>
    </row>
    <row r="63" spans="2:16" ht="12.5">
      <c r="B63" s="160" t="str">
        <f t="shared" si="7"/>
        <v/>
      </c>
      <c r="C63" s="472">
        <f>IF(D11="","-",+C62+1)</f>
        <v>2059</v>
      </c>
      <c r="D63" s="485">
        <f>IF(F62+SUM(E$17:E62)=D$10,F62,D$10-SUM(E$17:E62))</f>
        <v>0</v>
      </c>
      <c r="E63" s="484">
        <f t="shared" si="5"/>
        <v>0</v>
      </c>
      <c r="F63" s="485">
        <f t="shared" si="22"/>
        <v>0</v>
      </c>
      <c r="G63" s="486">
        <f t="shared" si="23"/>
        <v>0</v>
      </c>
      <c r="H63" s="455">
        <f t="shared" si="24"/>
        <v>0</v>
      </c>
      <c r="I63" s="475">
        <f t="shared" si="6"/>
        <v>0</v>
      </c>
      <c r="J63" s="475"/>
      <c r="K63" s="487"/>
      <c r="L63" s="478">
        <f t="shared" si="25"/>
        <v>0</v>
      </c>
      <c r="M63" s="487"/>
      <c r="N63" s="478">
        <f t="shared" si="11"/>
        <v>0</v>
      </c>
      <c r="O63" s="478">
        <f t="shared" si="12"/>
        <v>0</v>
      </c>
      <c r="P63" s="242"/>
    </row>
    <row r="64" spans="2:16" ht="12.5">
      <c r="B64" s="160" t="str">
        <f t="shared" si="7"/>
        <v/>
      </c>
      <c r="C64" s="472">
        <f>IF(D11="","-",+C63+1)</f>
        <v>2060</v>
      </c>
      <c r="D64" s="485">
        <f>IF(F63+SUM(E$17:E63)=D$10,F63,D$10-SUM(E$17:E63))</f>
        <v>0</v>
      </c>
      <c r="E64" s="484">
        <f t="shared" si="5"/>
        <v>0</v>
      </c>
      <c r="F64" s="485">
        <f t="shared" si="22"/>
        <v>0</v>
      </c>
      <c r="G64" s="486">
        <f t="shared" si="23"/>
        <v>0</v>
      </c>
      <c r="H64" s="455">
        <f t="shared" si="24"/>
        <v>0</v>
      </c>
      <c r="I64" s="475">
        <f t="shared" si="6"/>
        <v>0</v>
      </c>
      <c r="J64" s="475"/>
      <c r="K64" s="487"/>
      <c r="L64" s="478">
        <f t="shared" si="25"/>
        <v>0</v>
      </c>
      <c r="M64" s="487"/>
      <c r="N64" s="478">
        <f t="shared" si="11"/>
        <v>0</v>
      </c>
      <c r="O64" s="478">
        <f t="shared" si="12"/>
        <v>0</v>
      </c>
      <c r="P64" s="242"/>
    </row>
    <row r="65" spans="2:16" ht="12.5">
      <c r="B65" s="160" t="str">
        <f t="shared" si="7"/>
        <v/>
      </c>
      <c r="C65" s="472">
        <f>IF(D11="","-",+C64+1)</f>
        <v>2061</v>
      </c>
      <c r="D65" s="485">
        <f>IF(F64+SUM(E$17:E64)=D$10,F64,D$10-SUM(E$17:E64))</f>
        <v>0</v>
      </c>
      <c r="E65" s="484">
        <f t="shared" si="5"/>
        <v>0</v>
      </c>
      <c r="F65" s="485">
        <f t="shared" si="22"/>
        <v>0</v>
      </c>
      <c r="G65" s="486">
        <f t="shared" si="23"/>
        <v>0</v>
      </c>
      <c r="H65" s="455">
        <f t="shared" si="24"/>
        <v>0</v>
      </c>
      <c r="I65" s="475">
        <f t="shared" si="6"/>
        <v>0</v>
      </c>
      <c r="J65" s="475"/>
      <c r="K65" s="487"/>
      <c r="L65" s="478">
        <f t="shared" si="25"/>
        <v>0</v>
      </c>
      <c r="M65" s="487"/>
      <c r="N65" s="478">
        <f t="shared" si="11"/>
        <v>0</v>
      </c>
      <c r="O65" s="478">
        <f t="shared" si="12"/>
        <v>0</v>
      </c>
      <c r="P65" s="242"/>
    </row>
    <row r="66" spans="2:16" ht="12.5">
      <c r="B66" s="160" t="str">
        <f t="shared" si="7"/>
        <v/>
      </c>
      <c r="C66" s="472">
        <f>IF(D11="","-",+C65+1)</f>
        <v>2062</v>
      </c>
      <c r="D66" s="485">
        <f>IF(F65+SUM(E$17:E65)=D$10,F65,D$10-SUM(E$17:E65))</f>
        <v>0</v>
      </c>
      <c r="E66" s="484">
        <f t="shared" si="5"/>
        <v>0</v>
      </c>
      <c r="F66" s="485">
        <f t="shared" si="22"/>
        <v>0</v>
      </c>
      <c r="G66" s="486">
        <f t="shared" si="23"/>
        <v>0</v>
      </c>
      <c r="H66" s="455">
        <f t="shared" si="24"/>
        <v>0</v>
      </c>
      <c r="I66" s="475">
        <f t="shared" si="6"/>
        <v>0</v>
      </c>
      <c r="J66" s="475"/>
      <c r="K66" s="487"/>
      <c r="L66" s="478">
        <f t="shared" si="25"/>
        <v>0</v>
      </c>
      <c r="M66" s="487"/>
      <c r="N66" s="478">
        <f t="shared" si="11"/>
        <v>0</v>
      </c>
      <c r="O66" s="478">
        <f t="shared" si="12"/>
        <v>0</v>
      </c>
      <c r="P66" s="242"/>
    </row>
    <row r="67" spans="2:16" ht="12.5">
      <c r="B67" s="160" t="str">
        <f t="shared" si="7"/>
        <v/>
      </c>
      <c r="C67" s="472">
        <f>IF(D11="","-",+C66+1)</f>
        <v>2063</v>
      </c>
      <c r="D67" s="485">
        <f>IF(F66+SUM(E$17:E66)=D$10,F66,D$10-SUM(E$17:E66))</f>
        <v>0</v>
      </c>
      <c r="E67" s="484">
        <f t="shared" si="5"/>
        <v>0</v>
      </c>
      <c r="F67" s="485">
        <f t="shared" si="22"/>
        <v>0</v>
      </c>
      <c r="G67" s="486">
        <f t="shared" si="23"/>
        <v>0</v>
      </c>
      <c r="H67" s="455">
        <f t="shared" si="24"/>
        <v>0</v>
      </c>
      <c r="I67" s="475">
        <f t="shared" si="6"/>
        <v>0</v>
      </c>
      <c r="J67" s="475"/>
      <c r="K67" s="487"/>
      <c r="L67" s="478">
        <f t="shared" si="25"/>
        <v>0</v>
      </c>
      <c r="M67" s="487"/>
      <c r="N67" s="478">
        <f t="shared" si="11"/>
        <v>0</v>
      </c>
      <c r="O67" s="478">
        <f t="shared" si="12"/>
        <v>0</v>
      </c>
      <c r="P67" s="242"/>
    </row>
    <row r="68" spans="2:16" ht="12.5">
      <c r="B68" s="160" t="str">
        <f t="shared" si="7"/>
        <v/>
      </c>
      <c r="C68" s="472">
        <f>IF(D11="","-",+C67+1)</f>
        <v>2064</v>
      </c>
      <c r="D68" s="485">
        <f>IF(F67+SUM(E$17:E67)=D$10,F67,D$10-SUM(E$17:E67))</f>
        <v>0</v>
      </c>
      <c r="E68" s="484">
        <f t="shared" si="5"/>
        <v>0</v>
      </c>
      <c r="F68" s="485">
        <f t="shared" si="22"/>
        <v>0</v>
      </c>
      <c r="G68" s="486">
        <f t="shared" si="23"/>
        <v>0</v>
      </c>
      <c r="H68" s="455">
        <f t="shared" si="24"/>
        <v>0</v>
      </c>
      <c r="I68" s="475">
        <f t="shared" si="6"/>
        <v>0</v>
      </c>
      <c r="J68" s="475"/>
      <c r="K68" s="487"/>
      <c r="L68" s="478">
        <f t="shared" si="25"/>
        <v>0</v>
      </c>
      <c r="M68" s="487"/>
      <c r="N68" s="478">
        <f t="shared" si="11"/>
        <v>0</v>
      </c>
      <c r="O68" s="478">
        <f t="shared" si="12"/>
        <v>0</v>
      </c>
      <c r="P68" s="242"/>
    </row>
    <row r="69" spans="2:16" ht="12.5">
      <c r="B69" s="160" t="str">
        <f t="shared" si="7"/>
        <v/>
      </c>
      <c r="C69" s="472">
        <f>IF(D11="","-",+C68+1)</f>
        <v>2065</v>
      </c>
      <c r="D69" s="485">
        <f>IF(F68+SUM(E$17:E68)=D$10,F68,D$10-SUM(E$17:E68))</f>
        <v>0</v>
      </c>
      <c r="E69" s="484">
        <f t="shared" si="5"/>
        <v>0</v>
      </c>
      <c r="F69" s="485">
        <f t="shared" si="22"/>
        <v>0</v>
      </c>
      <c r="G69" s="486">
        <f t="shared" si="23"/>
        <v>0</v>
      </c>
      <c r="H69" s="455">
        <f t="shared" si="24"/>
        <v>0</v>
      </c>
      <c r="I69" s="475">
        <f t="shared" si="6"/>
        <v>0</v>
      </c>
      <c r="J69" s="475"/>
      <c r="K69" s="487"/>
      <c r="L69" s="478">
        <f t="shared" si="25"/>
        <v>0</v>
      </c>
      <c r="M69" s="487"/>
      <c r="N69" s="478">
        <f t="shared" si="11"/>
        <v>0</v>
      </c>
      <c r="O69" s="478">
        <f t="shared" si="12"/>
        <v>0</v>
      </c>
      <c r="P69" s="242"/>
    </row>
    <row r="70" spans="2:16" ht="12.5">
      <c r="B70" s="160" t="str">
        <f t="shared" si="7"/>
        <v/>
      </c>
      <c r="C70" s="472">
        <f>IF(D11="","-",+C69+1)</f>
        <v>2066</v>
      </c>
      <c r="D70" s="485">
        <f>IF(F69+SUM(E$17:E69)=D$10,F69,D$10-SUM(E$17:E69))</f>
        <v>0</v>
      </c>
      <c r="E70" s="484">
        <f t="shared" si="5"/>
        <v>0</v>
      </c>
      <c r="F70" s="485">
        <f t="shared" si="22"/>
        <v>0</v>
      </c>
      <c r="G70" s="486">
        <f t="shared" si="23"/>
        <v>0</v>
      </c>
      <c r="H70" s="455">
        <f t="shared" si="24"/>
        <v>0</v>
      </c>
      <c r="I70" s="475">
        <f t="shared" si="6"/>
        <v>0</v>
      </c>
      <c r="J70" s="475"/>
      <c r="K70" s="487"/>
      <c r="L70" s="478">
        <f t="shared" si="25"/>
        <v>0</v>
      </c>
      <c r="M70" s="487"/>
      <c r="N70" s="478">
        <f t="shared" si="11"/>
        <v>0</v>
      </c>
      <c r="O70" s="478">
        <f t="shared" si="12"/>
        <v>0</v>
      </c>
      <c r="P70" s="242"/>
    </row>
    <row r="71" spans="2:16" ht="12.5">
      <c r="B71" s="160" t="str">
        <f t="shared" si="7"/>
        <v/>
      </c>
      <c r="C71" s="472">
        <f>IF(D11="","-",+C70+1)</f>
        <v>2067</v>
      </c>
      <c r="D71" s="485">
        <f>IF(F70+SUM(E$17:E70)=D$10,F70,D$10-SUM(E$17:E70))</f>
        <v>0</v>
      </c>
      <c r="E71" s="484">
        <f t="shared" si="5"/>
        <v>0</v>
      </c>
      <c r="F71" s="485">
        <f t="shared" si="22"/>
        <v>0</v>
      </c>
      <c r="G71" s="486">
        <f t="shared" si="23"/>
        <v>0</v>
      </c>
      <c r="H71" s="455">
        <f t="shared" si="24"/>
        <v>0</v>
      </c>
      <c r="I71" s="475">
        <f t="shared" si="6"/>
        <v>0</v>
      </c>
      <c r="J71" s="475"/>
      <c r="K71" s="487"/>
      <c r="L71" s="478">
        <f t="shared" si="25"/>
        <v>0</v>
      </c>
      <c r="M71" s="487"/>
      <c r="N71" s="478">
        <f t="shared" si="11"/>
        <v>0</v>
      </c>
      <c r="O71" s="478">
        <f t="shared" si="12"/>
        <v>0</v>
      </c>
      <c r="P71" s="242"/>
    </row>
    <row r="72" spans="2:16" ht="13" thickBot="1">
      <c r="B72" s="160" t="str">
        <f t="shared" si="7"/>
        <v/>
      </c>
      <c r="C72" s="489">
        <f>IF(D11="","-",+C71+1)</f>
        <v>2068</v>
      </c>
      <c r="D72" s="485">
        <f>IF(F71+SUM(E$17:E71)=D$10,F71,D$10-SUM(E$17:E71))</f>
        <v>0</v>
      </c>
      <c r="E72" s="484">
        <f t="shared" si="5"/>
        <v>0</v>
      </c>
      <c r="F72" s="485">
        <f t="shared" si="22"/>
        <v>0</v>
      </c>
      <c r="G72" s="486">
        <f t="shared" si="23"/>
        <v>0</v>
      </c>
      <c r="H72" s="455">
        <f t="shared" si="24"/>
        <v>0</v>
      </c>
      <c r="I72" s="475">
        <f t="shared" si="6"/>
        <v>0</v>
      </c>
      <c r="J72" s="475"/>
      <c r="K72" s="494"/>
      <c r="L72" s="495">
        <f t="shared" si="25"/>
        <v>0</v>
      </c>
      <c r="M72" s="494"/>
      <c r="N72" s="495">
        <f t="shared" si="11"/>
        <v>0</v>
      </c>
      <c r="O72" s="495">
        <f t="shared" si="12"/>
        <v>0</v>
      </c>
      <c r="P72" s="242"/>
    </row>
    <row r="73" spans="2:16" ht="12.5">
      <c r="C73" s="346" t="s">
        <v>77</v>
      </c>
      <c r="D73" s="347"/>
      <c r="E73" s="347">
        <f>SUM(E17:E72)</f>
        <v>1035552.0000000001</v>
      </c>
      <c r="F73" s="347"/>
      <c r="G73" s="347">
        <f>SUM(G17:G72)</f>
        <v>5149653.024286137</v>
      </c>
      <c r="H73" s="347">
        <f>SUM(H17:H72)</f>
        <v>5149653.024286137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14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106280.60465116279</v>
      </c>
      <c r="N87" s="508">
        <f>IF(J92&lt;D11,0,VLOOKUP(J92,C17:O72,11))</f>
        <v>106280.60465116279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121759.37640510849</v>
      </c>
      <c r="N88" s="512">
        <f>IF(J92&lt;D11,0,VLOOKUP(J92,C99:P154,7))</f>
        <v>121759.37640510849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Ashdown West - Craig Junction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15478.771753945693</v>
      </c>
      <c r="N89" s="517">
        <f>+N88-N87</f>
        <v>15478.771753945693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TP2009092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1035552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604" t="s">
        <v>271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25257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 t="str">
        <f>IF(D93= "","-",D93)</f>
        <v>2013</v>
      </c>
      <c r="D99" s="584">
        <v>0</v>
      </c>
      <c r="E99" s="585">
        <v>16595</v>
      </c>
      <c r="F99" s="586">
        <v>1018741</v>
      </c>
      <c r="G99" s="605">
        <v>509371</v>
      </c>
      <c r="H99" s="606">
        <v>89910</v>
      </c>
      <c r="I99" s="607">
        <v>89910</v>
      </c>
      <c r="J99" s="478">
        <v>0</v>
      </c>
      <c r="K99" s="478"/>
      <c r="L99" s="476">
        <f t="shared" ref="L99:L104" si="26">H99</f>
        <v>89910</v>
      </c>
      <c r="M99" s="348">
        <f t="shared" ref="M99:M104" si="27">IF(L99&lt;&gt;0,+H99-L99,0)</f>
        <v>0</v>
      </c>
      <c r="N99" s="476">
        <f t="shared" ref="N99:N104" si="28">I99</f>
        <v>89910</v>
      </c>
      <c r="O99" s="475">
        <f t="shared" ref="O99:O104" si="29">IF(N99&lt;&gt;0,+I99-N99,0)</f>
        <v>0</v>
      </c>
      <c r="P99" s="478">
        <f t="shared" ref="P99:P104" si="30">+O99-M99</f>
        <v>0</v>
      </c>
    </row>
    <row r="100" spans="1:16" ht="12.5">
      <c r="B100" s="160" t="str">
        <f>IF(D100=F99,"","IU")</f>
        <v>IU</v>
      </c>
      <c r="C100" s="472">
        <f>IF(D93="","-",+C99+1)</f>
        <v>2014</v>
      </c>
      <c r="D100" s="584">
        <v>1018957</v>
      </c>
      <c r="E100" s="585">
        <v>19914</v>
      </c>
      <c r="F100" s="586">
        <v>999043</v>
      </c>
      <c r="G100" s="586">
        <v>1009000</v>
      </c>
      <c r="H100" s="585">
        <v>161775</v>
      </c>
      <c r="I100" s="587">
        <v>161775</v>
      </c>
      <c r="J100" s="478">
        <f>+I100-H100</f>
        <v>0</v>
      </c>
      <c r="K100" s="478"/>
      <c r="L100" s="476">
        <f t="shared" si="26"/>
        <v>161775</v>
      </c>
      <c r="M100" s="348">
        <f t="shared" si="27"/>
        <v>0</v>
      </c>
      <c r="N100" s="476">
        <f t="shared" si="28"/>
        <v>161775</v>
      </c>
      <c r="O100" s="475">
        <f t="shared" si="29"/>
        <v>0</v>
      </c>
      <c r="P100" s="478">
        <f t="shared" si="30"/>
        <v>0</v>
      </c>
    </row>
    <row r="101" spans="1:16" ht="12.5">
      <c r="B101" s="160" t="str">
        <f t="shared" ref="B101:B154" si="31">IF(D101=F100,"","IU")</f>
        <v/>
      </c>
      <c r="C101" s="472">
        <f>IF(D93="","-",+C100+1)</f>
        <v>2015</v>
      </c>
      <c r="D101" s="584">
        <v>999043</v>
      </c>
      <c r="E101" s="585">
        <v>19914</v>
      </c>
      <c r="F101" s="586">
        <v>979129</v>
      </c>
      <c r="G101" s="586">
        <v>989086</v>
      </c>
      <c r="H101" s="585">
        <v>154866.83205665913</v>
      </c>
      <c r="I101" s="587">
        <v>154866.83205665913</v>
      </c>
      <c r="J101" s="478">
        <f>+I101-H101</f>
        <v>0</v>
      </c>
      <c r="K101" s="478"/>
      <c r="L101" s="476">
        <f t="shared" si="26"/>
        <v>154866.83205665913</v>
      </c>
      <c r="M101" s="348">
        <f t="shared" si="27"/>
        <v>0</v>
      </c>
      <c r="N101" s="476">
        <f t="shared" si="28"/>
        <v>154866.83205665913</v>
      </c>
      <c r="O101" s="475">
        <f t="shared" si="29"/>
        <v>0</v>
      </c>
      <c r="P101" s="478">
        <f t="shared" si="30"/>
        <v>0</v>
      </c>
    </row>
    <row r="102" spans="1:16" ht="12.5">
      <c r="B102" s="160" t="str">
        <f t="shared" si="31"/>
        <v/>
      </c>
      <c r="C102" s="472">
        <f>IF(D93="","-",+C101+1)</f>
        <v>2016</v>
      </c>
      <c r="D102" s="584">
        <v>979129</v>
      </c>
      <c r="E102" s="585">
        <v>22512</v>
      </c>
      <c r="F102" s="586">
        <v>956617</v>
      </c>
      <c r="G102" s="586">
        <v>967873</v>
      </c>
      <c r="H102" s="585">
        <v>147286.07261026395</v>
      </c>
      <c r="I102" s="587">
        <v>147286.07261026395</v>
      </c>
      <c r="J102" s="478">
        <f t="shared" ref="J102:J154" si="32">+I102-H102</f>
        <v>0</v>
      </c>
      <c r="K102" s="478"/>
      <c r="L102" s="476">
        <f t="shared" si="26"/>
        <v>147286.07261026395</v>
      </c>
      <c r="M102" s="348">
        <f t="shared" si="27"/>
        <v>0</v>
      </c>
      <c r="N102" s="476">
        <f t="shared" si="28"/>
        <v>147286.07261026395</v>
      </c>
      <c r="O102" s="475">
        <f t="shared" si="29"/>
        <v>0</v>
      </c>
      <c r="P102" s="478">
        <f t="shared" si="30"/>
        <v>0</v>
      </c>
    </row>
    <row r="103" spans="1:16" ht="12.5">
      <c r="B103" s="160" t="str">
        <f t="shared" si="31"/>
        <v/>
      </c>
      <c r="C103" s="472">
        <f>IF(D93="","-",+C102+1)</f>
        <v>2017</v>
      </c>
      <c r="D103" s="584">
        <v>956617</v>
      </c>
      <c r="E103" s="585">
        <v>22512</v>
      </c>
      <c r="F103" s="586">
        <v>934105</v>
      </c>
      <c r="G103" s="586">
        <v>945361</v>
      </c>
      <c r="H103" s="585">
        <v>142433.42657860837</v>
      </c>
      <c r="I103" s="587">
        <v>142433.42657860837</v>
      </c>
      <c r="J103" s="478">
        <f t="shared" si="32"/>
        <v>0</v>
      </c>
      <c r="K103" s="478"/>
      <c r="L103" s="476">
        <f t="shared" si="26"/>
        <v>142433.42657860837</v>
      </c>
      <c r="M103" s="348">
        <f t="shared" si="27"/>
        <v>0</v>
      </c>
      <c r="N103" s="476">
        <f t="shared" si="28"/>
        <v>142433.42657860837</v>
      </c>
      <c r="O103" s="475">
        <f t="shared" si="29"/>
        <v>0</v>
      </c>
      <c r="P103" s="478">
        <f t="shared" si="30"/>
        <v>0</v>
      </c>
    </row>
    <row r="104" spans="1:16" ht="12.5">
      <c r="B104" s="160" t="str">
        <f t="shared" si="31"/>
        <v/>
      </c>
      <c r="C104" s="472">
        <f>IF(D93="","-",+C103+1)</f>
        <v>2018</v>
      </c>
      <c r="D104" s="584">
        <v>934105</v>
      </c>
      <c r="E104" s="585">
        <v>24083</v>
      </c>
      <c r="F104" s="586">
        <v>910022</v>
      </c>
      <c r="G104" s="586">
        <v>922063.5</v>
      </c>
      <c r="H104" s="585">
        <v>118811.71632291189</v>
      </c>
      <c r="I104" s="587">
        <v>118811.71632291189</v>
      </c>
      <c r="J104" s="478">
        <f t="shared" si="32"/>
        <v>0</v>
      </c>
      <c r="K104" s="478"/>
      <c r="L104" s="476">
        <f t="shared" si="26"/>
        <v>118811.71632291189</v>
      </c>
      <c r="M104" s="348">
        <f t="shared" si="27"/>
        <v>0</v>
      </c>
      <c r="N104" s="476">
        <f t="shared" si="28"/>
        <v>118811.71632291189</v>
      </c>
      <c r="O104" s="475">
        <f t="shared" si="29"/>
        <v>0</v>
      </c>
      <c r="P104" s="478">
        <f t="shared" si="30"/>
        <v>0</v>
      </c>
    </row>
    <row r="105" spans="1:16" ht="12.5">
      <c r="B105" s="160" t="str">
        <f t="shared" si="31"/>
        <v/>
      </c>
      <c r="C105" s="472">
        <f>IF(D93="","-",+C104+1)</f>
        <v>2019</v>
      </c>
      <c r="D105" s="584">
        <v>910022</v>
      </c>
      <c r="E105" s="585">
        <v>25257</v>
      </c>
      <c r="F105" s="586">
        <v>884765</v>
      </c>
      <c r="G105" s="586">
        <v>897393.5</v>
      </c>
      <c r="H105" s="585">
        <v>117790.85676358812</v>
      </c>
      <c r="I105" s="587">
        <v>117790.85676358812</v>
      </c>
      <c r="J105" s="478">
        <f t="shared" si="32"/>
        <v>0</v>
      </c>
      <c r="K105" s="478"/>
      <c r="L105" s="476">
        <f t="shared" ref="L105:L106" si="33">H105</f>
        <v>117790.85676358812</v>
      </c>
      <c r="M105" s="348">
        <f t="shared" ref="M105:M106" si="34">IF(L105&lt;&gt;0,+H105-L105,0)</f>
        <v>0</v>
      </c>
      <c r="N105" s="476">
        <f t="shared" ref="N105:N106" si="35">I105</f>
        <v>117790.85676358812</v>
      </c>
      <c r="O105" s="478">
        <f t="shared" ref="O105:O130" si="36">IF(N105&lt;&gt;0,+I105-N105,0)</f>
        <v>0</v>
      </c>
      <c r="P105" s="478">
        <f t="shared" ref="P105:P130" si="37">+O105-M105</f>
        <v>0</v>
      </c>
    </row>
    <row r="106" spans="1:16" ht="12.5">
      <c r="B106" s="160" t="str">
        <f t="shared" si="31"/>
        <v/>
      </c>
      <c r="C106" s="472">
        <f>IF(D93="","-",+C105+1)</f>
        <v>2020</v>
      </c>
      <c r="D106" s="584">
        <v>884765</v>
      </c>
      <c r="E106" s="585">
        <v>24083</v>
      </c>
      <c r="F106" s="586">
        <v>860682</v>
      </c>
      <c r="G106" s="586">
        <v>872723.5</v>
      </c>
      <c r="H106" s="585">
        <v>124705.62019457563</v>
      </c>
      <c r="I106" s="587">
        <v>124705.62019457563</v>
      </c>
      <c r="J106" s="478">
        <f t="shared" si="32"/>
        <v>0</v>
      </c>
      <c r="K106" s="478"/>
      <c r="L106" s="476">
        <f t="shared" si="33"/>
        <v>124705.62019457563</v>
      </c>
      <c r="M106" s="348">
        <f t="shared" si="34"/>
        <v>0</v>
      </c>
      <c r="N106" s="476">
        <f t="shared" si="35"/>
        <v>124705.62019457563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1"/>
        <v/>
      </c>
      <c r="C107" s="472">
        <f>IF(D93="","-",+C106+1)</f>
        <v>2021</v>
      </c>
      <c r="D107" s="346">
        <f>IF(F106+SUM(E$99:E106)=D$92,F106,D$92-SUM(E$99:E106))</f>
        <v>860682</v>
      </c>
      <c r="E107" s="484">
        <f t="shared" ref="E107:E154" si="38">IF(+J$96&lt;F106,J$96,D107)</f>
        <v>25257</v>
      </c>
      <c r="F107" s="485">
        <f t="shared" ref="F107:F154" si="39">+D107-E107</f>
        <v>835425</v>
      </c>
      <c r="G107" s="485">
        <f t="shared" ref="G107:G154" si="40">+(F107+D107)/2</f>
        <v>848053.5</v>
      </c>
      <c r="H107" s="488">
        <f t="shared" ref="H107:H154" si="41">+J$94*G107+E107</f>
        <v>121759.37640510849</v>
      </c>
      <c r="I107" s="542">
        <f t="shared" ref="I107:I154" si="42">+J$95*G107+E107</f>
        <v>121759.37640510849</v>
      </c>
      <c r="J107" s="478">
        <f t="shared" si="32"/>
        <v>0</v>
      </c>
      <c r="K107" s="478"/>
      <c r="L107" s="487"/>
      <c r="M107" s="478">
        <f t="shared" ref="M107:M130" si="43">IF(L107&lt;&gt;0,+H107-L107,0)</f>
        <v>0</v>
      </c>
      <c r="N107" s="487"/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1"/>
        <v/>
      </c>
      <c r="C108" s="472">
        <f>IF(D93="","-",+C107+1)</f>
        <v>2022</v>
      </c>
      <c r="D108" s="346">
        <f>IF(F107+SUM(E$99:E107)=D$92,F107,D$92-SUM(E$99:E107))</f>
        <v>835425</v>
      </c>
      <c r="E108" s="484">
        <f t="shared" si="38"/>
        <v>25257</v>
      </c>
      <c r="F108" s="485">
        <f t="shared" si="39"/>
        <v>810168</v>
      </c>
      <c r="G108" s="485">
        <f t="shared" si="40"/>
        <v>822796.5</v>
      </c>
      <c r="H108" s="488">
        <f t="shared" si="41"/>
        <v>118885.31183151281</v>
      </c>
      <c r="I108" s="542">
        <f t="shared" si="42"/>
        <v>118885.31183151281</v>
      </c>
      <c r="J108" s="478">
        <f t="shared" si="32"/>
        <v>0</v>
      </c>
      <c r="K108" s="478"/>
      <c r="L108" s="487"/>
      <c r="M108" s="478">
        <f t="shared" si="43"/>
        <v>0</v>
      </c>
      <c r="N108" s="487"/>
      <c r="O108" s="478">
        <f t="shared" si="36"/>
        <v>0</v>
      </c>
      <c r="P108" s="478">
        <f t="shared" si="37"/>
        <v>0</v>
      </c>
    </row>
    <row r="109" spans="1:16" ht="12.5">
      <c r="B109" s="160" t="str">
        <f t="shared" si="31"/>
        <v/>
      </c>
      <c r="C109" s="472">
        <f>IF(D93="","-",+C108+1)</f>
        <v>2023</v>
      </c>
      <c r="D109" s="346">
        <f>IF(F108+SUM(E$99:E108)=D$92,F108,D$92-SUM(E$99:E108))</f>
        <v>810168</v>
      </c>
      <c r="E109" s="484">
        <f t="shared" si="38"/>
        <v>25257</v>
      </c>
      <c r="F109" s="485">
        <f t="shared" si="39"/>
        <v>784911</v>
      </c>
      <c r="G109" s="485">
        <f t="shared" si="40"/>
        <v>797539.5</v>
      </c>
      <c r="H109" s="488">
        <f t="shared" si="41"/>
        <v>116011.24725791713</v>
      </c>
      <c r="I109" s="542">
        <f t="shared" si="42"/>
        <v>116011.24725791713</v>
      </c>
      <c r="J109" s="478">
        <f t="shared" si="32"/>
        <v>0</v>
      </c>
      <c r="K109" s="478"/>
      <c r="L109" s="487"/>
      <c r="M109" s="478">
        <f t="shared" si="43"/>
        <v>0</v>
      </c>
      <c r="N109" s="487"/>
      <c r="O109" s="478">
        <f t="shared" si="36"/>
        <v>0</v>
      </c>
      <c r="P109" s="478">
        <f t="shared" si="37"/>
        <v>0</v>
      </c>
    </row>
    <row r="110" spans="1:16" ht="12.5">
      <c r="B110" s="160" t="str">
        <f t="shared" si="31"/>
        <v/>
      </c>
      <c r="C110" s="472">
        <f>IF(D93="","-",+C109+1)</f>
        <v>2024</v>
      </c>
      <c r="D110" s="346">
        <f>IF(F109+SUM(E$99:E109)=D$92,F109,D$92-SUM(E$99:E109))</f>
        <v>784911</v>
      </c>
      <c r="E110" s="484">
        <f t="shared" si="38"/>
        <v>25257</v>
      </c>
      <c r="F110" s="485">
        <f t="shared" si="39"/>
        <v>759654</v>
      </c>
      <c r="G110" s="485">
        <f t="shared" si="40"/>
        <v>772282.5</v>
      </c>
      <c r="H110" s="488">
        <f t="shared" si="41"/>
        <v>113137.18268432145</v>
      </c>
      <c r="I110" s="542">
        <f t="shared" si="42"/>
        <v>113137.18268432145</v>
      </c>
      <c r="J110" s="478">
        <f t="shared" si="32"/>
        <v>0</v>
      </c>
      <c r="K110" s="478"/>
      <c r="L110" s="487"/>
      <c r="M110" s="478">
        <f t="shared" si="43"/>
        <v>0</v>
      </c>
      <c r="N110" s="487"/>
      <c r="O110" s="478">
        <f t="shared" si="36"/>
        <v>0</v>
      </c>
      <c r="P110" s="478">
        <f t="shared" si="37"/>
        <v>0</v>
      </c>
    </row>
    <row r="111" spans="1:16" ht="12.5">
      <c r="B111" s="160" t="str">
        <f t="shared" si="31"/>
        <v/>
      </c>
      <c r="C111" s="472">
        <f>IF(D93="","-",+C110+1)</f>
        <v>2025</v>
      </c>
      <c r="D111" s="346">
        <f>IF(F110+SUM(E$99:E110)=D$92,F110,D$92-SUM(E$99:E110))</f>
        <v>759654</v>
      </c>
      <c r="E111" s="484">
        <f t="shared" si="38"/>
        <v>25257</v>
      </c>
      <c r="F111" s="485">
        <f t="shared" si="39"/>
        <v>734397</v>
      </c>
      <c r="G111" s="485">
        <f t="shared" si="40"/>
        <v>747025.5</v>
      </c>
      <c r="H111" s="488">
        <f t="shared" si="41"/>
        <v>110263.11811072577</v>
      </c>
      <c r="I111" s="542">
        <f t="shared" si="42"/>
        <v>110263.11811072577</v>
      </c>
      <c r="J111" s="478">
        <f t="shared" si="32"/>
        <v>0</v>
      </c>
      <c r="K111" s="478"/>
      <c r="L111" s="487"/>
      <c r="M111" s="478">
        <f t="shared" si="43"/>
        <v>0</v>
      </c>
      <c r="N111" s="487"/>
      <c r="O111" s="478">
        <f t="shared" si="36"/>
        <v>0</v>
      </c>
      <c r="P111" s="478">
        <f t="shared" si="37"/>
        <v>0</v>
      </c>
    </row>
    <row r="112" spans="1:16" ht="12.5">
      <c r="B112" s="160" t="str">
        <f t="shared" si="31"/>
        <v/>
      </c>
      <c r="C112" s="472">
        <f>IF(D93="","-",+C111+1)</f>
        <v>2026</v>
      </c>
      <c r="D112" s="346">
        <f>IF(F111+SUM(E$99:E111)=D$92,F111,D$92-SUM(E$99:E111))</f>
        <v>734397</v>
      </c>
      <c r="E112" s="484">
        <f t="shared" si="38"/>
        <v>25257</v>
      </c>
      <c r="F112" s="485">
        <f t="shared" si="39"/>
        <v>709140</v>
      </c>
      <c r="G112" s="485">
        <f t="shared" si="40"/>
        <v>721768.5</v>
      </c>
      <c r="H112" s="488">
        <f t="shared" si="41"/>
        <v>107389.05353713008</v>
      </c>
      <c r="I112" s="542">
        <f t="shared" si="42"/>
        <v>107389.05353713008</v>
      </c>
      <c r="J112" s="478">
        <f t="shared" si="32"/>
        <v>0</v>
      </c>
      <c r="K112" s="478"/>
      <c r="L112" s="487"/>
      <c r="M112" s="478">
        <f t="shared" si="43"/>
        <v>0</v>
      </c>
      <c r="N112" s="487"/>
      <c r="O112" s="478">
        <f t="shared" si="36"/>
        <v>0</v>
      </c>
      <c r="P112" s="478">
        <f t="shared" si="37"/>
        <v>0</v>
      </c>
    </row>
    <row r="113" spans="2:16" ht="12.5">
      <c r="B113" s="160" t="str">
        <f t="shared" si="31"/>
        <v/>
      </c>
      <c r="C113" s="472">
        <f>IF(D93="","-",+C112+1)</f>
        <v>2027</v>
      </c>
      <c r="D113" s="346">
        <f>IF(F112+SUM(E$99:E112)=D$92,F112,D$92-SUM(E$99:E112))</f>
        <v>709140</v>
      </c>
      <c r="E113" s="484">
        <f t="shared" si="38"/>
        <v>25257</v>
      </c>
      <c r="F113" s="485">
        <f t="shared" si="39"/>
        <v>683883</v>
      </c>
      <c r="G113" s="485">
        <f t="shared" si="40"/>
        <v>696511.5</v>
      </c>
      <c r="H113" s="488">
        <f t="shared" si="41"/>
        <v>104514.9889635344</v>
      </c>
      <c r="I113" s="542">
        <f t="shared" si="42"/>
        <v>104514.9889635344</v>
      </c>
      <c r="J113" s="478">
        <f t="shared" si="32"/>
        <v>0</v>
      </c>
      <c r="K113" s="478"/>
      <c r="L113" s="487"/>
      <c r="M113" s="478">
        <f t="shared" si="43"/>
        <v>0</v>
      </c>
      <c r="N113" s="487"/>
      <c r="O113" s="478">
        <f t="shared" si="36"/>
        <v>0</v>
      </c>
      <c r="P113" s="478">
        <f t="shared" si="37"/>
        <v>0</v>
      </c>
    </row>
    <row r="114" spans="2:16" ht="12.5">
      <c r="B114" s="160" t="str">
        <f t="shared" si="31"/>
        <v/>
      </c>
      <c r="C114" s="472">
        <f>IF(D93="","-",+C113+1)</f>
        <v>2028</v>
      </c>
      <c r="D114" s="346">
        <f>IF(F113+SUM(E$99:E113)=D$92,F113,D$92-SUM(E$99:E113))</f>
        <v>683883</v>
      </c>
      <c r="E114" s="484">
        <f t="shared" si="38"/>
        <v>25257</v>
      </c>
      <c r="F114" s="485">
        <f t="shared" si="39"/>
        <v>658626</v>
      </c>
      <c r="G114" s="485">
        <f t="shared" si="40"/>
        <v>671254.5</v>
      </c>
      <c r="H114" s="488">
        <f t="shared" si="41"/>
        <v>101640.92438993872</v>
      </c>
      <c r="I114" s="542">
        <f t="shared" si="42"/>
        <v>101640.92438993872</v>
      </c>
      <c r="J114" s="478">
        <f t="shared" si="32"/>
        <v>0</v>
      </c>
      <c r="K114" s="478"/>
      <c r="L114" s="487"/>
      <c r="M114" s="478">
        <f t="shared" si="43"/>
        <v>0</v>
      </c>
      <c r="N114" s="487"/>
      <c r="O114" s="478">
        <f t="shared" si="36"/>
        <v>0</v>
      </c>
      <c r="P114" s="478">
        <f t="shared" si="37"/>
        <v>0</v>
      </c>
    </row>
    <row r="115" spans="2:16" ht="12.5">
      <c r="B115" s="160" t="str">
        <f t="shared" si="31"/>
        <v/>
      </c>
      <c r="C115" s="472">
        <f>IF(D93="","-",+C114+1)</f>
        <v>2029</v>
      </c>
      <c r="D115" s="346">
        <f>IF(F114+SUM(E$99:E114)=D$92,F114,D$92-SUM(E$99:E114))</f>
        <v>658626</v>
      </c>
      <c r="E115" s="484">
        <f t="shared" si="38"/>
        <v>25257</v>
      </c>
      <c r="F115" s="485">
        <f t="shared" si="39"/>
        <v>633369</v>
      </c>
      <c r="G115" s="485">
        <f t="shared" si="40"/>
        <v>645997.5</v>
      </c>
      <c r="H115" s="488">
        <f t="shared" si="41"/>
        <v>98766.859816343043</v>
      </c>
      <c r="I115" s="542">
        <f t="shared" si="42"/>
        <v>98766.859816343043</v>
      </c>
      <c r="J115" s="478">
        <f t="shared" si="32"/>
        <v>0</v>
      </c>
      <c r="K115" s="478"/>
      <c r="L115" s="487"/>
      <c r="M115" s="478">
        <f t="shared" si="43"/>
        <v>0</v>
      </c>
      <c r="N115" s="487"/>
      <c r="O115" s="478">
        <f t="shared" si="36"/>
        <v>0</v>
      </c>
      <c r="P115" s="478">
        <f t="shared" si="37"/>
        <v>0</v>
      </c>
    </row>
    <row r="116" spans="2:16" ht="12.5">
      <c r="B116" s="160" t="str">
        <f t="shared" si="31"/>
        <v/>
      </c>
      <c r="C116" s="472">
        <f>IF(D93="","-",+C115+1)</f>
        <v>2030</v>
      </c>
      <c r="D116" s="346">
        <f>IF(F115+SUM(E$99:E115)=D$92,F115,D$92-SUM(E$99:E115))</f>
        <v>633369</v>
      </c>
      <c r="E116" s="484">
        <f t="shared" si="38"/>
        <v>25257</v>
      </c>
      <c r="F116" s="485">
        <f t="shared" si="39"/>
        <v>608112</v>
      </c>
      <c r="G116" s="485">
        <f t="shared" si="40"/>
        <v>620740.5</v>
      </c>
      <c r="H116" s="488">
        <f t="shared" si="41"/>
        <v>95892.795242747365</v>
      </c>
      <c r="I116" s="542">
        <f t="shared" si="42"/>
        <v>95892.795242747365</v>
      </c>
      <c r="J116" s="478">
        <f t="shared" si="32"/>
        <v>0</v>
      </c>
      <c r="K116" s="478"/>
      <c r="L116" s="487"/>
      <c r="M116" s="478">
        <f t="shared" si="43"/>
        <v>0</v>
      </c>
      <c r="N116" s="487"/>
      <c r="O116" s="478">
        <f t="shared" si="36"/>
        <v>0</v>
      </c>
      <c r="P116" s="478">
        <f t="shared" si="37"/>
        <v>0</v>
      </c>
    </row>
    <row r="117" spans="2:16" ht="12.5">
      <c r="B117" s="160" t="str">
        <f t="shared" si="31"/>
        <v/>
      </c>
      <c r="C117" s="472">
        <f>IF(D93="","-",+C116+1)</f>
        <v>2031</v>
      </c>
      <c r="D117" s="346">
        <f>IF(F116+SUM(E$99:E116)=D$92,F116,D$92-SUM(E$99:E116))</f>
        <v>608112</v>
      </c>
      <c r="E117" s="484">
        <f t="shared" si="38"/>
        <v>25257</v>
      </c>
      <c r="F117" s="485">
        <f t="shared" si="39"/>
        <v>582855</v>
      </c>
      <c r="G117" s="485">
        <f t="shared" si="40"/>
        <v>595483.5</v>
      </c>
      <c r="H117" s="488">
        <f t="shared" si="41"/>
        <v>93018.730669151671</v>
      </c>
      <c r="I117" s="542">
        <f t="shared" si="42"/>
        <v>93018.730669151671</v>
      </c>
      <c r="J117" s="478">
        <f t="shared" si="32"/>
        <v>0</v>
      </c>
      <c r="K117" s="478"/>
      <c r="L117" s="487"/>
      <c r="M117" s="478">
        <f t="shared" si="43"/>
        <v>0</v>
      </c>
      <c r="N117" s="487"/>
      <c r="O117" s="478">
        <f t="shared" si="36"/>
        <v>0</v>
      </c>
      <c r="P117" s="478">
        <f t="shared" si="37"/>
        <v>0</v>
      </c>
    </row>
    <row r="118" spans="2:16" ht="12.5">
      <c r="B118" s="160" t="str">
        <f t="shared" si="31"/>
        <v/>
      </c>
      <c r="C118" s="472">
        <f>IF(D93="","-",+C117+1)</f>
        <v>2032</v>
      </c>
      <c r="D118" s="346">
        <f>IF(F117+SUM(E$99:E117)=D$92,F117,D$92-SUM(E$99:E117))</f>
        <v>582855</v>
      </c>
      <c r="E118" s="484">
        <f t="shared" si="38"/>
        <v>25257</v>
      </c>
      <c r="F118" s="485">
        <f t="shared" si="39"/>
        <v>557598</v>
      </c>
      <c r="G118" s="485">
        <f t="shared" si="40"/>
        <v>570226.5</v>
      </c>
      <c r="H118" s="488">
        <f t="shared" si="41"/>
        <v>90144.666095555993</v>
      </c>
      <c r="I118" s="542">
        <f t="shared" si="42"/>
        <v>90144.666095555993</v>
      </c>
      <c r="J118" s="478">
        <f t="shared" si="32"/>
        <v>0</v>
      </c>
      <c r="K118" s="478"/>
      <c r="L118" s="487"/>
      <c r="M118" s="478">
        <f t="shared" si="43"/>
        <v>0</v>
      </c>
      <c r="N118" s="487"/>
      <c r="O118" s="478">
        <f t="shared" si="36"/>
        <v>0</v>
      </c>
      <c r="P118" s="478">
        <f t="shared" si="37"/>
        <v>0</v>
      </c>
    </row>
    <row r="119" spans="2:16" ht="12.5">
      <c r="B119" s="160" t="str">
        <f t="shared" si="31"/>
        <v/>
      </c>
      <c r="C119" s="472">
        <f>IF(D93="","-",+C118+1)</f>
        <v>2033</v>
      </c>
      <c r="D119" s="346">
        <f>IF(F118+SUM(E$99:E118)=D$92,F118,D$92-SUM(E$99:E118))</f>
        <v>557598</v>
      </c>
      <c r="E119" s="484">
        <f t="shared" si="38"/>
        <v>25257</v>
      </c>
      <c r="F119" s="485">
        <f t="shared" si="39"/>
        <v>532341</v>
      </c>
      <c r="G119" s="485">
        <f t="shared" si="40"/>
        <v>544969.5</v>
      </c>
      <c r="H119" s="488">
        <f t="shared" si="41"/>
        <v>87270.601521960314</v>
      </c>
      <c r="I119" s="542">
        <f t="shared" si="42"/>
        <v>87270.601521960314</v>
      </c>
      <c r="J119" s="478">
        <f t="shared" si="32"/>
        <v>0</v>
      </c>
      <c r="K119" s="478"/>
      <c r="L119" s="487"/>
      <c r="M119" s="478">
        <f t="shared" si="43"/>
        <v>0</v>
      </c>
      <c r="N119" s="487"/>
      <c r="O119" s="478">
        <f t="shared" si="36"/>
        <v>0</v>
      </c>
      <c r="P119" s="478">
        <f t="shared" si="37"/>
        <v>0</v>
      </c>
    </row>
    <row r="120" spans="2:16" ht="12.5">
      <c r="B120" s="160" t="str">
        <f t="shared" si="31"/>
        <v/>
      </c>
      <c r="C120" s="472">
        <f>IF(D93="","-",+C119+1)</f>
        <v>2034</v>
      </c>
      <c r="D120" s="346">
        <f>IF(F119+SUM(E$99:E119)=D$92,F119,D$92-SUM(E$99:E119))</f>
        <v>532341</v>
      </c>
      <c r="E120" s="484">
        <f t="shared" si="38"/>
        <v>25257</v>
      </c>
      <c r="F120" s="485">
        <f t="shared" si="39"/>
        <v>507084</v>
      </c>
      <c r="G120" s="485">
        <f t="shared" si="40"/>
        <v>519712.5</v>
      </c>
      <c r="H120" s="488">
        <f t="shared" si="41"/>
        <v>84396.536948364635</v>
      </c>
      <c r="I120" s="542">
        <f t="shared" si="42"/>
        <v>84396.536948364635</v>
      </c>
      <c r="J120" s="478">
        <f t="shared" si="32"/>
        <v>0</v>
      </c>
      <c r="K120" s="478"/>
      <c r="L120" s="487"/>
      <c r="M120" s="478">
        <f t="shared" si="43"/>
        <v>0</v>
      </c>
      <c r="N120" s="487"/>
      <c r="O120" s="478">
        <f t="shared" si="36"/>
        <v>0</v>
      </c>
      <c r="P120" s="478">
        <f t="shared" si="37"/>
        <v>0</v>
      </c>
    </row>
    <row r="121" spans="2:16" ht="12.5">
      <c r="B121" s="160" t="str">
        <f t="shared" si="31"/>
        <v/>
      </c>
      <c r="C121" s="472">
        <f>IF(D93="","-",+C120+1)</f>
        <v>2035</v>
      </c>
      <c r="D121" s="346">
        <f>IF(F120+SUM(E$99:E120)=D$92,F120,D$92-SUM(E$99:E120))</f>
        <v>507084</v>
      </c>
      <c r="E121" s="484">
        <f t="shared" si="38"/>
        <v>25257</v>
      </c>
      <c r="F121" s="485">
        <f t="shared" si="39"/>
        <v>481827</v>
      </c>
      <c r="G121" s="485">
        <f t="shared" si="40"/>
        <v>494455.5</v>
      </c>
      <c r="H121" s="488">
        <f t="shared" si="41"/>
        <v>81522.472374768957</v>
      </c>
      <c r="I121" s="542">
        <f t="shared" si="42"/>
        <v>81522.472374768957</v>
      </c>
      <c r="J121" s="478">
        <f t="shared" si="32"/>
        <v>0</v>
      </c>
      <c r="K121" s="478"/>
      <c r="L121" s="487"/>
      <c r="M121" s="478">
        <f t="shared" si="43"/>
        <v>0</v>
      </c>
      <c r="N121" s="487"/>
      <c r="O121" s="478">
        <f t="shared" si="36"/>
        <v>0</v>
      </c>
      <c r="P121" s="478">
        <f t="shared" si="37"/>
        <v>0</v>
      </c>
    </row>
    <row r="122" spans="2:16" ht="12.5">
      <c r="B122" s="160" t="str">
        <f t="shared" si="31"/>
        <v/>
      </c>
      <c r="C122" s="472">
        <f>IF(D93="","-",+C121+1)</f>
        <v>2036</v>
      </c>
      <c r="D122" s="346">
        <f>IF(F121+SUM(E$99:E121)=D$92,F121,D$92-SUM(E$99:E121))</f>
        <v>481827</v>
      </c>
      <c r="E122" s="484">
        <f t="shared" si="38"/>
        <v>25257</v>
      </c>
      <c r="F122" s="485">
        <f t="shared" si="39"/>
        <v>456570</v>
      </c>
      <c r="G122" s="485">
        <f t="shared" si="40"/>
        <v>469198.5</v>
      </c>
      <c r="H122" s="488">
        <f t="shared" si="41"/>
        <v>78648.407801173278</v>
      </c>
      <c r="I122" s="542">
        <f t="shared" si="42"/>
        <v>78648.407801173278</v>
      </c>
      <c r="J122" s="478">
        <f t="shared" si="32"/>
        <v>0</v>
      </c>
      <c r="K122" s="478"/>
      <c r="L122" s="487"/>
      <c r="M122" s="478">
        <f t="shared" si="43"/>
        <v>0</v>
      </c>
      <c r="N122" s="487"/>
      <c r="O122" s="478">
        <f t="shared" si="36"/>
        <v>0</v>
      </c>
      <c r="P122" s="478">
        <f t="shared" si="37"/>
        <v>0</v>
      </c>
    </row>
    <row r="123" spans="2:16" ht="12.5">
      <c r="B123" s="160" t="str">
        <f t="shared" si="31"/>
        <v/>
      </c>
      <c r="C123" s="472">
        <f>IF(D93="","-",+C122+1)</f>
        <v>2037</v>
      </c>
      <c r="D123" s="346">
        <f>IF(F122+SUM(E$99:E122)=D$92,F122,D$92-SUM(E$99:E122))</f>
        <v>456570</v>
      </c>
      <c r="E123" s="484">
        <f t="shared" si="38"/>
        <v>25257</v>
      </c>
      <c r="F123" s="485">
        <f t="shared" si="39"/>
        <v>431313</v>
      </c>
      <c r="G123" s="485">
        <f t="shared" si="40"/>
        <v>443941.5</v>
      </c>
      <c r="H123" s="488">
        <f t="shared" si="41"/>
        <v>75774.343227577599</v>
      </c>
      <c r="I123" s="542">
        <f t="shared" si="42"/>
        <v>75774.343227577599</v>
      </c>
      <c r="J123" s="478">
        <f t="shared" si="32"/>
        <v>0</v>
      </c>
      <c r="K123" s="478"/>
      <c r="L123" s="487"/>
      <c r="M123" s="478">
        <f t="shared" si="43"/>
        <v>0</v>
      </c>
      <c r="N123" s="487"/>
      <c r="O123" s="478">
        <f t="shared" si="36"/>
        <v>0</v>
      </c>
      <c r="P123" s="478">
        <f t="shared" si="37"/>
        <v>0</v>
      </c>
    </row>
    <row r="124" spans="2:16" ht="12.5">
      <c r="B124" s="160" t="str">
        <f t="shared" si="31"/>
        <v/>
      </c>
      <c r="C124" s="472">
        <f>IF(D93="","-",+C123+1)</f>
        <v>2038</v>
      </c>
      <c r="D124" s="346">
        <f>IF(F123+SUM(E$99:E123)=D$92,F123,D$92-SUM(E$99:E123))</f>
        <v>431313</v>
      </c>
      <c r="E124" s="484">
        <f t="shared" si="38"/>
        <v>25257</v>
      </c>
      <c r="F124" s="485">
        <f t="shared" si="39"/>
        <v>406056</v>
      </c>
      <c r="G124" s="485">
        <f t="shared" si="40"/>
        <v>418684.5</v>
      </c>
      <c r="H124" s="488">
        <f t="shared" si="41"/>
        <v>72900.278653981906</v>
      </c>
      <c r="I124" s="542">
        <f t="shared" si="42"/>
        <v>72900.278653981906</v>
      </c>
      <c r="J124" s="478">
        <f t="shared" si="32"/>
        <v>0</v>
      </c>
      <c r="K124" s="478"/>
      <c r="L124" s="487"/>
      <c r="M124" s="478">
        <f t="shared" si="43"/>
        <v>0</v>
      </c>
      <c r="N124" s="487"/>
      <c r="O124" s="478">
        <f t="shared" si="36"/>
        <v>0</v>
      </c>
      <c r="P124" s="478">
        <f t="shared" si="37"/>
        <v>0</v>
      </c>
    </row>
    <row r="125" spans="2:16" ht="12.5">
      <c r="B125" s="160" t="str">
        <f t="shared" si="31"/>
        <v/>
      </c>
      <c r="C125" s="472">
        <f>IF(D93="","-",+C124+1)</f>
        <v>2039</v>
      </c>
      <c r="D125" s="346">
        <f>IF(F124+SUM(E$99:E124)=D$92,F124,D$92-SUM(E$99:E124))</f>
        <v>406056</v>
      </c>
      <c r="E125" s="484">
        <f t="shared" si="38"/>
        <v>25257</v>
      </c>
      <c r="F125" s="485">
        <f t="shared" si="39"/>
        <v>380799</v>
      </c>
      <c r="G125" s="485">
        <f t="shared" si="40"/>
        <v>393427.5</v>
      </c>
      <c r="H125" s="488">
        <f t="shared" si="41"/>
        <v>70026.214080386228</v>
      </c>
      <c r="I125" s="542">
        <f t="shared" si="42"/>
        <v>70026.214080386228</v>
      </c>
      <c r="J125" s="478">
        <f t="shared" si="32"/>
        <v>0</v>
      </c>
      <c r="K125" s="478"/>
      <c r="L125" s="487"/>
      <c r="M125" s="478">
        <f t="shared" si="43"/>
        <v>0</v>
      </c>
      <c r="N125" s="487"/>
      <c r="O125" s="478">
        <f t="shared" si="36"/>
        <v>0</v>
      </c>
      <c r="P125" s="478">
        <f t="shared" si="37"/>
        <v>0</v>
      </c>
    </row>
    <row r="126" spans="2:16" ht="12.5">
      <c r="B126" s="160" t="str">
        <f t="shared" si="31"/>
        <v/>
      </c>
      <c r="C126" s="472">
        <f>IF(D93="","-",+C125+1)</f>
        <v>2040</v>
      </c>
      <c r="D126" s="346">
        <f>IF(F125+SUM(E$99:E125)=D$92,F125,D$92-SUM(E$99:E125))</f>
        <v>380799</v>
      </c>
      <c r="E126" s="484">
        <f t="shared" si="38"/>
        <v>25257</v>
      </c>
      <c r="F126" s="485">
        <f t="shared" si="39"/>
        <v>355542</v>
      </c>
      <c r="G126" s="485">
        <f t="shared" si="40"/>
        <v>368170.5</v>
      </c>
      <c r="H126" s="488">
        <f t="shared" si="41"/>
        <v>67152.149506790549</v>
      </c>
      <c r="I126" s="542">
        <f t="shared" si="42"/>
        <v>67152.149506790549</v>
      </c>
      <c r="J126" s="478">
        <f t="shared" si="32"/>
        <v>0</v>
      </c>
      <c r="K126" s="478"/>
      <c r="L126" s="487"/>
      <c r="M126" s="478">
        <f t="shared" si="43"/>
        <v>0</v>
      </c>
      <c r="N126" s="487"/>
      <c r="O126" s="478">
        <f t="shared" si="36"/>
        <v>0</v>
      </c>
      <c r="P126" s="478">
        <f t="shared" si="37"/>
        <v>0</v>
      </c>
    </row>
    <row r="127" spans="2:16" ht="12.5">
      <c r="B127" s="160" t="str">
        <f t="shared" si="31"/>
        <v/>
      </c>
      <c r="C127" s="472">
        <f>IF(D93="","-",+C126+1)</f>
        <v>2041</v>
      </c>
      <c r="D127" s="346">
        <f>IF(F126+SUM(E$99:E126)=D$92,F126,D$92-SUM(E$99:E126))</f>
        <v>355542</v>
      </c>
      <c r="E127" s="484">
        <f t="shared" si="38"/>
        <v>25257</v>
      </c>
      <c r="F127" s="485">
        <f t="shared" si="39"/>
        <v>330285</v>
      </c>
      <c r="G127" s="485">
        <f t="shared" si="40"/>
        <v>342913.5</v>
      </c>
      <c r="H127" s="488">
        <f t="shared" si="41"/>
        <v>64278.084933194863</v>
      </c>
      <c r="I127" s="542">
        <f t="shared" si="42"/>
        <v>64278.084933194863</v>
      </c>
      <c r="J127" s="478">
        <f t="shared" si="32"/>
        <v>0</v>
      </c>
      <c r="K127" s="478"/>
      <c r="L127" s="487"/>
      <c r="M127" s="478">
        <f t="shared" si="43"/>
        <v>0</v>
      </c>
      <c r="N127" s="487"/>
      <c r="O127" s="478">
        <f t="shared" si="36"/>
        <v>0</v>
      </c>
      <c r="P127" s="478">
        <f t="shared" si="37"/>
        <v>0</v>
      </c>
    </row>
    <row r="128" spans="2:16" ht="12.5">
      <c r="B128" s="160" t="str">
        <f t="shared" si="31"/>
        <v/>
      </c>
      <c r="C128" s="472">
        <f>IF(D93="","-",+C127+1)</f>
        <v>2042</v>
      </c>
      <c r="D128" s="346">
        <f>IF(F127+SUM(E$99:E127)=D$92,F127,D$92-SUM(E$99:E127))</f>
        <v>330285</v>
      </c>
      <c r="E128" s="484">
        <f t="shared" si="38"/>
        <v>25257</v>
      </c>
      <c r="F128" s="485">
        <f t="shared" si="39"/>
        <v>305028</v>
      </c>
      <c r="G128" s="485">
        <f t="shared" si="40"/>
        <v>317656.5</v>
      </c>
      <c r="H128" s="488">
        <f t="shared" si="41"/>
        <v>61404.020359599184</v>
      </c>
      <c r="I128" s="542">
        <f t="shared" si="42"/>
        <v>61404.020359599184</v>
      </c>
      <c r="J128" s="478">
        <f t="shared" si="32"/>
        <v>0</v>
      </c>
      <c r="K128" s="478"/>
      <c r="L128" s="487"/>
      <c r="M128" s="478">
        <f t="shared" si="43"/>
        <v>0</v>
      </c>
      <c r="N128" s="487"/>
      <c r="O128" s="478">
        <f t="shared" si="36"/>
        <v>0</v>
      </c>
      <c r="P128" s="478">
        <f t="shared" si="37"/>
        <v>0</v>
      </c>
    </row>
    <row r="129" spans="2:16" ht="12.5">
      <c r="B129" s="160" t="str">
        <f t="shared" si="31"/>
        <v/>
      </c>
      <c r="C129" s="472">
        <f>IF(D93="","-",+C128+1)</f>
        <v>2043</v>
      </c>
      <c r="D129" s="346">
        <f>IF(F128+SUM(E$99:E128)=D$92,F128,D$92-SUM(E$99:E128))</f>
        <v>305028</v>
      </c>
      <c r="E129" s="484">
        <f t="shared" si="38"/>
        <v>25257</v>
      </c>
      <c r="F129" s="485">
        <f t="shared" si="39"/>
        <v>279771</v>
      </c>
      <c r="G129" s="485">
        <f t="shared" si="40"/>
        <v>292399.5</v>
      </c>
      <c r="H129" s="488">
        <f t="shared" si="41"/>
        <v>58529.955786003498</v>
      </c>
      <c r="I129" s="542">
        <f t="shared" si="42"/>
        <v>58529.955786003498</v>
      </c>
      <c r="J129" s="478">
        <f t="shared" si="32"/>
        <v>0</v>
      </c>
      <c r="K129" s="478"/>
      <c r="L129" s="487"/>
      <c r="M129" s="478">
        <f t="shared" si="43"/>
        <v>0</v>
      </c>
      <c r="N129" s="487"/>
      <c r="O129" s="478">
        <f t="shared" si="36"/>
        <v>0</v>
      </c>
      <c r="P129" s="478">
        <f t="shared" si="37"/>
        <v>0</v>
      </c>
    </row>
    <row r="130" spans="2:16" ht="12.5">
      <c r="B130" s="160" t="str">
        <f t="shared" si="31"/>
        <v/>
      </c>
      <c r="C130" s="472">
        <f>IF(D93="","-",+C129+1)</f>
        <v>2044</v>
      </c>
      <c r="D130" s="346">
        <f>IF(F129+SUM(E$99:E129)=D$92,F129,D$92-SUM(E$99:E129))</f>
        <v>279771</v>
      </c>
      <c r="E130" s="484">
        <f t="shared" si="38"/>
        <v>25257</v>
      </c>
      <c r="F130" s="485">
        <f t="shared" si="39"/>
        <v>254514</v>
      </c>
      <c r="G130" s="485">
        <f t="shared" si="40"/>
        <v>267142.5</v>
      </c>
      <c r="H130" s="488">
        <f t="shared" si="41"/>
        <v>55655.89121240782</v>
      </c>
      <c r="I130" s="542">
        <f t="shared" si="42"/>
        <v>55655.89121240782</v>
      </c>
      <c r="J130" s="478">
        <f t="shared" si="32"/>
        <v>0</v>
      </c>
      <c r="K130" s="478"/>
      <c r="L130" s="487"/>
      <c r="M130" s="478">
        <f t="shared" si="43"/>
        <v>0</v>
      </c>
      <c r="N130" s="487"/>
      <c r="O130" s="478">
        <f t="shared" si="36"/>
        <v>0</v>
      </c>
      <c r="P130" s="478">
        <f t="shared" si="37"/>
        <v>0</v>
      </c>
    </row>
    <row r="131" spans="2:16" ht="12.5">
      <c r="B131" s="160" t="str">
        <f t="shared" si="31"/>
        <v/>
      </c>
      <c r="C131" s="472">
        <f>IF(D93="","-",+C130+1)</f>
        <v>2045</v>
      </c>
      <c r="D131" s="346">
        <f>IF(F130+SUM(E$99:E130)=D$92,F130,D$92-SUM(E$99:E130))</f>
        <v>254514</v>
      </c>
      <c r="E131" s="484">
        <f t="shared" si="38"/>
        <v>25257</v>
      </c>
      <c r="F131" s="485">
        <f t="shared" si="39"/>
        <v>229257</v>
      </c>
      <c r="G131" s="485">
        <f t="shared" si="40"/>
        <v>241885.5</v>
      </c>
      <c r="H131" s="488">
        <f t="shared" si="41"/>
        <v>52781.826638812141</v>
      </c>
      <c r="I131" s="542">
        <f t="shared" si="42"/>
        <v>52781.826638812141</v>
      </c>
      <c r="J131" s="478">
        <f t="shared" si="32"/>
        <v>0</v>
      </c>
      <c r="K131" s="478"/>
      <c r="L131" s="487"/>
      <c r="M131" s="478">
        <f t="shared" ref="M131:M154" si="44">IF(L541&lt;&gt;0,+H541-L541,0)</f>
        <v>0</v>
      </c>
      <c r="N131" s="487"/>
      <c r="O131" s="478">
        <f t="shared" ref="O131:O154" si="45">IF(N541&lt;&gt;0,+I541-N541,0)</f>
        <v>0</v>
      </c>
      <c r="P131" s="478">
        <f t="shared" ref="P131:P154" si="46">+O541-M541</f>
        <v>0</v>
      </c>
    </row>
    <row r="132" spans="2:16" ht="12.5">
      <c r="B132" s="160" t="str">
        <f t="shared" si="31"/>
        <v/>
      </c>
      <c r="C132" s="472">
        <f>IF(D93="","-",+C131+1)</f>
        <v>2046</v>
      </c>
      <c r="D132" s="346">
        <f>IF(F131+SUM(E$99:E131)=D$92,F131,D$92-SUM(E$99:E131))</f>
        <v>229257</v>
      </c>
      <c r="E132" s="484">
        <f t="shared" si="38"/>
        <v>25257</v>
      </c>
      <c r="F132" s="485">
        <f t="shared" si="39"/>
        <v>204000</v>
      </c>
      <c r="G132" s="485">
        <f t="shared" si="40"/>
        <v>216628.5</v>
      </c>
      <c r="H132" s="488">
        <f t="shared" si="41"/>
        <v>49907.762065216462</v>
      </c>
      <c r="I132" s="542">
        <f t="shared" si="42"/>
        <v>49907.762065216462</v>
      </c>
      <c r="J132" s="478">
        <f t="shared" si="32"/>
        <v>0</v>
      </c>
      <c r="K132" s="478"/>
      <c r="L132" s="487"/>
      <c r="M132" s="478">
        <f t="shared" si="44"/>
        <v>0</v>
      </c>
      <c r="N132" s="487"/>
      <c r="O132" s="478">
        <f t="shared" si="45"/>
        <v>0</v>
      </c>
      <c r="P132" s="478">
        <f t="shared" si="46"/>
        <v>0</v>
      </c>
    </row>
    <row r="133" spans="2:16" ht="12.5">
      <c r="B133" s="160" t="str">
        <f t="shared" si="31"/>
        <v/>
      </c>
      <c r="C133" s="472">
        <f>IF(D93="","-",+C132+1)</f>
        <v>2047</v>
      </c>
      <c r="D133" s="346">
        <f>IF(F132+SUM(E$99:E132)=D$92,F132,D$92-SUM(E$99:E132))</f>
        <v>204000</v>
      </c>
      <c r="E133" s="484">
        <f t="shared" si="38"/>
        <v>25257</v>
      </c>
      <c r="F133" s="485">
        <f t="shared" si="39"/>
        <v>178743</v>
      </c>
      <c r="G133" s="485">
        <f t="shared" si="40"/>
        <v>191371.5</v>
      </c>
      <c r="H133" s="488">
        <f t="shared" si="41"/>
        <v>47033.697491620776</v>
      </c>
      <c r="I133" s="542">
        <f t="shared" si="42"/>
        <v>47033.697491620776</v>
      </c>
      <c r="J133" s="478">
        <f t="shared" si="32"/>
        <v>0</v>
      </c>
      <c r="K133" s="478"/>
      <c r="L133" s="487"/>
      <c r="M133" s="478">
        <f t="shared" si="44"/>
        <v>0</v>
      </c>
      <c r="N133" s="487"/>
      <c r="O133" s="478">
        <f t="shared" si="45"/>
        <v>0</v>
      </c>
      <c r="P133" s="478">
        <f t="shared" si="46"/>
        <v>0</v>
      </c>
    </row>
    <row r="134" spans="2:16" ht="12.5">
      <c r="B134" s="160" t="str">
        <f t="shared" si="31"/>
        <v/>
      </c>
      <c r="C134" s="472">
        <f>IF(D93="","-",+C133+1)</f>
        <v>2048</v>
      </c>
      <c r="D134" s="346">
        <f>IF(F133+SUM(E$99:E133)=D$92,F133,D$92-SUM(E$99:E133))</f>
        <v>178743</v>
      </c>
      <c r="E134" s="484">
        <f t="shared" si="38"/>
        <v>25257</v>
      </c>
      <c r="F134" s="485">
        <f t="shared" si="39"/>
        <v>153486</v>
      </c>
      <c r="G134" s="485">
        <f t="shared" si="40"/>
        <v>166114.5</v>
      </c>
      <c r="H134" s="488">
        <f t="shared" si="41"/>
        <v>44159.63291802509</v>
      </c>
      <c r="I134" s="542">
        <f t="shared" si="42"/>
        <v>44159.63291802509</v>
      </c>
      <c r="J134" s="478">
        <f t="shared" si="32"/>
        <v>0</v>
      </c>
      <c r="K134" s="478"/>
      <c r="L134" s="487"/>
      <c r="M134" s="478">
        <f t="shared" si="44"/>
        <v>0</v>
      </c>
      <c r="N134" s="487"/>
      <c r="O134" s="478">
        <f t="shared" si="45"/>
        <v>0</v>
      </c>
      <c r="P134" s="478">
        <f t="shared" si="46"/>
        <v>0</v>
      </c>
    </row>
    <row r="135" spans="2:16" ht="12.5">
      <c r="B135" s="160" t="str">
        <f t="shared" si="31"/>
        <v/>
      </c>
      <c r="C135" s="472">
        <f>IF(D93="","-",+C134+1)</f>
        <v>2049</v>
      </c>
      <c r="D135" s="346">
        <f>IF(F134+SUM(E$99:E134)=D$92,F134,D$92-SUM(E$99:E134))</f>
        <v>153486</v>
      </c>
      <c r="E135" s="484">
        <f t="shared" si="38"/>
        <v>25257</v>
      </c>
      <c r="F135" s="485">
        <f t="shared" si="39"/>
        <v>128229</v>
      </c>
      <c r="G135" s="485">
        <f t="shared" si="40"/>
        <v>140857.5</v>
      </c>
      <c r="H135" s="488">
        <f t="shared" si="41"/>
        <v>41285.568344429412</v>
      </c>
      <c r="I135" s="542">
        <f t="shared" si="42"/>
        <v>41285.568344429412</v>
      </c>
      <c r="J135" s="478">
        <f t="shared" si="32"/>
        <v>0</v>
      </c>
      <c r="K135" s="478"/>
      <c r="L135" s="487"/>
      <c r="M135" s="478">
        <f t="shared" si="44"/>
        <v>0</v>
      </c>
      <c r="N135" s="487"/>
      <c r="O135" s="478">
        <f t="shared" si="45"/>
        <v>0</v>
      </c>
      <c r="P135" s="478">
        <f t="shared" si="46"/>
        <v>0</v>
      </c>
    </row>
    <row r="136" spans="2:16" ht="12.5">
      <c r="B136" s="160" t="str">
        <f t="shared" si="31"/>
        <v/>
      </c>
      <c r="C136" s="472">
        <f>IF(D93="","-",+C135+1)</f>
        <v>2050</v>
      </c>
      <c r="D136" s="346">
        <f>IF(F135+SUM(E$99:E135)=D$92,F135,D$92-SUM(E$99:E135))</f>
        <v>128229</v>
      </c>
      <c r="E136" s="484">
        <f t="shared" si="38"/>
        <v>25257</v>
      </c>
      <c r="F136" s="485">
        <f t="shared" si="39"/>
        <v>102972</v>
      </c>
      <c r="G136" s="485">
        <f t="shared" si="40"/>
        <v>115600.5</v>
      </c>
      <c r="H136" s="488">
        <f t="shared" si="41"/>
        <v>38411.503770833733</v>
      </c>
      <c r="I136" s="542">
        <f t="shared" si="42"/>
        <v>38411.503770833733</v>
      </c>
      <c r="J136" s="478">
        <f t="shared" si="32"/>
        <v>0</v>
      </c>
      <c r="K136" s="478"/>
      <c r="L136" s="487"/>
      <c r="M136" s="478">
        <f t="shared" si="44"/>
        <v>0</v>
      </c>
      <c r="N136" s="487"/>
      <c r="O136" s="478">
        <f t="shared" si="45"/>
        <v>0</v>
      </c>
      <c r="P136" s="478">
        <f t="shared" si="46"/>
        <v>0</v>
      </c>
    </row>
    <row r="137" spans="2:16" ht="12.5">
      <c r="B137" s="160" t="str">
        <f t="shared" si="31"/>
        <v/>
      </c>
      <c r="C137" s="472">
        <f>IF(D93="","-",+C136+1)</f>
        <v>2051</v>
      </c>
      <c r="D137" s="346">
        <f>IF(F136+SUM(E$99:E136)=D$92,F136,D$92-SUM(E$99:E136))</f>
        <v>102972</v>
      </c>
      <c r="E137" s="484">
        <f t="shared" si="38"/>
        <v>25257</v>
      </c>
      <c r="F137" s="485">
        <f t="shared" si="39"/>
        <v>77715</v>
      </c>
      <c r="G137" s="485">
        <f t="shared" si="40"/>
        <v>90343.5</v>
      </c>
      <c r="H137" s="488">
        <f t="shared" si="41"/>
        <v>35537.439197238054</v>
      </c>
      <c r="I137" s="542">
        <f t="shared" si="42"/>
        <v>35537.439197238054</v>
      </c>
      <c r="J137" s="478">
        <f t="shared" si="32"/>
        <v>0</v>
      </c>
      <c r="K137" s="478"/>
      <c r="L137" s="487"/>
      <c r="M137" s="478">
        <f t="shared" si="44"/>
        <v>0</v>
      </c>
      <c r="N137" s="487"/>
      <c r="O137" s="478">
        <f t="shared" si="45"/>
        <v>0</v>
      </c>
      <c r="P137" s="478">
        <f t="shared" si="46"/>
        <v>0</v>
      </c>
    </row>
    <row r="138" spans="2:16" ht="12.5">
      <c r="B138" s="160" t="str">
        <f t="shared" si="31"/>
        <v/>
      </c>
      <c r="C138" s="472">
        <f>IF(D93="","-",+C137+1)</f>
        <v>2052</v>
      </c>
      <c r="D138" s="346">
        <f>IF(F137+SUM(E$99:E137)=D$92,F137,D$92-SUM(E$99:E137))</f>
        <v>77715</v>
      </c>
      <c r="E138" s="484">
        <f t="shared" si="38"/>
        <v>25257</v>
      </c>
      <c r="F138" s="485">
        <f t="shared" si="39"/>
        <v>52458</v>
      </c>
      <c r="G138" s="485">
        <f t="shared" si="40"/>
        <v>65086.5</v>
      </c>
      <c r="H138" s="488">
        <f t="shared" si="41"/>
        <v>32663.374623642369</v>
      </c>
      <c r="I138" s="542">
        <f t="shared" si="42"/>
        <v>32663.374623642369</v>
      </c>
      <c r="J138" s="478">
        <f t="shared" si="32"/>
        <v>0</v>
      </c>
      <c r="K138" s="478"/>
      <c r="L138" s="487"/>
      <c r="M138" s="478">
        <f t="shared" si="44"/>
        <v>0</v>
      </c>
      <c r="N138" s="487"/>
      <c r="O138" s="478">
        <f t="shared" si="45"/>
        <v>0</v>
      </c>
      <c r="P138" s="478">
        <f t="shared" si="46"/>
        <v>0</v>
      </c>
    </row>
    <row r="139" spans="2:16" ht="12.5">
      <c r="B139" s="160" t="str">
        <f t="shared" si="31"/>
        <v/>
      </c>
      <c r="C139" s="472">
        <f>IF(D93="","-",+C138+1)</f>
        <v>2053</v>
      </c>
      <c r="D139" s="346">
        <f>IF(F138+SUM(E$99:E138)=D$92,F138,D$92-SUM(E$99:E138))</f>
        <v>52458</v>
      </c>
      <c r="E139" s="484">
        <f t="shared" si="38"/>
        <v>25257</v>
      </c>
      <c r="F139" s="485">
        <f t="shared" si="39"/>
        <v>27201</v>
      </c>
      <c r="G139" s="485">
        <f t="shared" si="40"/>
        <v>39829.5</v>
      </c>
      <c r="H139" s="488">
        <f t="shared" si="41"/>
        <v>29789.31005004669</v>
      </c>
      <c r="I139" s="542">
        <f t="shared" si="42"/>
        <v>29789.31005004669</v>
      </c>
      <c r="J139" s="478">
        <f t="shared" si="32"/>
        <v>0</v>
      </c>
      <c r="K139" s="478"/>
      <c r="L139" s="487"/>
      <c r="M139" s="478">
        <f t="shared" si="44"/>
        <v>0</v>
      </c>
      <c r="N139" s="487"/>
      <c r="O139" s="478">
        <f t="shared" si="45"/>
        <v>0</v>
      </c>
      <c r="P139" s="478">
        <f t="shared" si="46"/>
        <v>0</v>
      </c>
    </row>
    <row r="140" spans="2:16" ht="12.5">
      <c r="B140" s="160" t="str">
        <f t="shared" si="31"/>
        <v/>
      </c>
      <c r="C140" s="472">
        <f>IF(D93="","-",+C139+1)</f>
        <v>2054</v>
      </c>
      <c r="D140" s="346">
        <f>IF(F139+SUM(E$99:E139)=D$92,F139,D$92-SUM(E$99:E139))</f>
        <v>27201</v>
      </c>
      <c r="E140" s="484">
        <f t="shared" si="38"/>
        <v>25257</v>
      </c>
      <c r="F140" s="485">
        <f t="shared" si="39"/>
        <v>1944</v>
      </c>
      <c r="G140" s="485">
        <f t="shared" si="40"/>
        <v>14572.5</v>
      </c>
      <c r="H140" s="488">
        <f t="shared" si="41"/>
        <v>26915.245476451008</v>
      </c>
      <c r="I140" s="542">
        <f t="shared" si="42"/>
        <v>26915.245476451008</v>
      </c>
      <c r="J140" s="478">
        <f t="shared" si="32"/>
        <v>0</v>
      </c>
      <c r="K140" s="478"/>
      <c r="L140" s="487"/>
      <c r="M140" s="478">
        <f t="shared" si="44"/>
        <v>0</v>
      </c>
      <c r="N140" s="487"/>
      <c r="O140" s="478">
        <f t="shared" si="45"/>
        <v>0</v>
      </c>
      <c r="P140" s="478">
        <f t="shared" si="46"/>
        <v>0</v>
      </c>
    </row>
    <row r="141" spans="2:16" ht="12.5">
      <c r="B141" s="160" t="str">
        <f t="shared" si="31"/>
        <v/>
      </c>
      <c r="C141" s="472">
        <f>IF(D93="","-",+C140+1)</f>
        <v>2055</v>
      </c>
      <c r="D141" s="346">
        <f>IF(F140+SUM(E$99:E140)=D$92,F140,D$92-SUM(E$99:E140))</f>
        <v>1944</v>
      </c>
      <c r="E141" s="484">
        <f t="shared" si="38"/>
        <v>1944</v>
      </c>
      <c r="F141" s="485">
        <f t="shared" si="39"/>
        <v>0</v>
      </c>
      <c r="G141" s="485">
        <f t="shared" si="40"/>
        <v>972</v>
      </c>
      <c r="H141" s="488">
        <f t="shared" si="41"/>
        <v>2054.6065948265828</v>
      </c>
      <c r="I141" s="542">
        <f t="shared" si="42"/>
        <v>2054.6065948265828</v>
      </c>
      <c r="J141" s="478">
        <f t="shared" si="32"/>
        <v>0</v>
      </c>
      <c r="K141" s="478"/>
      <c r="L141" s="487"/>
      <c r="M141" s="478">
        <f t="shared" si="44"/>
        <v>0</v>
      </c>
      <c r="N141" s="487"/>
      <c r="O141" s="478">
        <f t="shared" si="45"/>
        <v>0</v>
      </c>
      <c r="P141" s="478">
        <f t="shared" si="46"/>
        <v>0</v>
      </c>
    </row>
    <row r="142" spans="2:16" ht="12.5">
      <c r="B142" s="160" t="str">
        <f t="shared" si="31"/>
        <v/>
      </c>
      <c r="C142" s="472">
        <f>IF(D93="","-",+C141+1)</f>
        <v>2056</v>
      </c>
      <c r="D142" s="346">
        <f>IF(F141+SUM(E$99:E141)=D$92,F141,D$92-SUM(E$99:E141))</f>
        <v>0</v>
      </c>
      <c r="E142" s="484">
        <f t="shared" si="38"/>
        <v>0</v>
      </c>
      <c r="F142" s="485">
        <f t="shared" si="39"/>
        <v>0</v>
      </c>
      <c r="G142" s="485">
        <f t="shared" si="40"/>
        <v>0</v>
      </c>
      <c r="H142" s="488">
        <f t="shared" si="41"/>
        <v>0</v>
      </c>
      <c r="I142" s="542">
        <f t="shared" si="42"/>
        <v>0</v>
      </c>
      <c r="J142" s="478">
        <f t="shared" si="32"/>
        <v>0</v>
      </c>
      <c r="K142" s="478"/>
      <c r="L142" s="487"/>
      <c r="M142" s="478">
        <f t="shared" si="44"/>
        <v>0</v>
      </c>
      <c r="N142" s="487"/>
      <c r="O142" s="478">
        <f t="shared" si="45"/>
        <v>0</v>
      </c>
      <c r="P142" s="478">
        <f t="shared" si="46"/>
        <v>0</v>
      </c>
    </row>
    <row r="143" spans="2:16" ht="12.5">
      <c r="B143" s="160" t="str">
        <f t="shared" si="31"/>
        <v/>
      </c>
      <c r="C143" s="472">
        <f>IF(D93="","-",+C142+1)</f>
        <v>2057</v>
      </c>
      <c r="D143" s="346">
        <f>IF(F142+SUM(E$99:E142)=D$92,F142,D$92-SUM(E$99:E142))</f>
        <v>0</v>
      </c>
      <c r="E143" s="484">
        <f t="shared" si="38"/>
        <v>0</v>
      </c>
      <c r="F143" s="485">
        <f t="shared" si="39"/>
        <v>0</v>
      </c>
      <c r="G143" s="485">
        <f t="shared" si="40"/>
        <v>0</v>
      </c>
      <c r="H143" s="488">
        <f t="shared" si="41"/>
        <v>0</v>
      </c>
      <c r="I143" s="542">
        <f t="shared" si="42"/>
        <v>0</v>
      </c>
      <c r="J143" s="478">
        <f t="shared" si="32"/>
        <v>0</v>
      </c>
      <c r="K143" s="478"/>
      <c r="L143" s="487"/>
      <c r="M143" s="478">
        <f t="shared" si="44"/>
        <v>0</v>
      </c>
      <c r="N143" s="487"/>
      <c r="O143" s="478">
        <f t="shared" si="45"/>
        <v>0</v>
      </c>
      <c r="P143" s="478">
        <f t="shared" si="46"/>
        <v>0</v>
      </c>
    </row>
    <row r="144" spans="2:16" ht="12.5">
      <c r="B144" s="160" t="str">
        <f t="shared" si="31"/>
        <v/>
      </c>
      <c r="C144" s="472">
        <f>IF(D93="","-",+C143+1)</f>
        <v>2058</v>
      </c>
      <c r="D144" s="346">
        <f>IF(F143+SUM(E$99:E143)=D$92,F143,D$92-SUM(E$99:E143))</f>
        <v>0</v>
      </c>
      <c r="E144" s="484">
        <f t="shared" si="38"/>
        <v>0</v>
      </c>
      <c r="F144" s="485">
        <f t="shared" si="39"/>
        <v>0</v>
      </c>
      <c r="G144" s="485">
        <f t="shared" si="40"/>
        <v>0</v>
      </c>
      <c r="H144" s="488">
        <f t="shared" si="41"/>
        <v>0</v>
      </c>
      <c r="I144" s="542">
        <f t="shared" si="42"/>
        <v>0</v>
      </c>
      <c r="J144" s="478">
        <f t="shared" si="32"/>
        <v>0</v>
      </c>
      <c r="K144" s="478"/>
      <c r="L144" s="487"/>
      <c r="M144" s="478">
        <f t="shared" si="44"/>
        <v>0</v>
      </c>
      <c r="N144" s="487"/>
      <c r="O144" s="478">
        <f t="shared" si="45"/>
        <v>0</v>
      </c>
      <c r="P144" s="478">
        <f t="shared" si="46"/>
        <v>0</v>
      </c>
    </row>
    <row r="145" spans="2:16" ht="12.5">
      <c r="B145" s="160" t="str">
        <f t="shared" si="31"/>
        <v/>
      </c>
      <c r="C145" s="472">
        <f>IF(D93="","-",+C144+1)</f>
        <v>2059</v>
      </c>
      <c r="D145" s="346">
        <f>IF(F144+SUM(E$99:E144)=D$92,F144,D$92-SUM(E$99:E144))</f>
        <v>0</v>
      </c>
      <c r="E145" s="484">
        <f t="shared" si="38"/>
        <v>0</v>
      </c>
      <c r="F145" s="485">
        <f t="shared" si="39"/>
        <v>0</v>
      </c>
      <c r="G145" s="485">
        <f t="shared" si="40"/>
        <v>0</v>
      </c>
      <c r="H145" s="488">
        <f t="shared" si="41"/>
        <v>0</v>
      </c>
      <c r="I145" s="542">
        <f t="shared" si="42"/>
        <v>0</v>
      </c>
      <c r="J145" s="478">
        <f t="shared" si="32"/>
        <v>0</v>
      </c>
      <c r="K145" s="478"/>
      <c r="L145" s="487"/>
      <c r="M145" s="478">
        <f t="shared" si="44"/>
        <v>0</v>
      </c>
      <c r="N145" s="487"/>
      <c r="O145" s="478">
        <f t="shared" si="45"/>
        <v>0</v>
      </c>
      <c r="P145" s="478">
        <f t="shared" si="46"/>
        <v>0</v>
      </c>
    </row>
    <row r="146" spans="2:16" ht="12.5">
      <c r="B146" s="160" t="str">
        <f t="shared" si="31"/>
        <v/>
      </c>
      <c r="C146" s="472">
        <f>IF(D93="","-",+C145+1)</f>
        <v>2060</v>
      </c>
      <c r="D146" s="346">
        <f>IF(F145+SUM(E$99:E145)=D$92,F145,D$92-SUM(E$99:E145))</f>
        <v>0</v>
      </c>
      <c r="E146" s="484">
        <f t="shared" si="38"/>
        <v>0</v>
      </c>
      <c r="F146" s="485">
        <f t="shared" si="39"/>
        <v>0</v>
      </c>
      <c r="G146" s="485">
        <f t="shared" si="40"/>
        <v>0</v>
      </c>
      <c r="H146" s="488">
        <f t="shared" si="41"/>
        <v>0</v>
      </c>
      <c r="I146" s="542">
        <f t="shared" si="42"/>
        <v>0</v>
      </c>
      <c r="J146" s="478">
        <f t="shared" si="32"/>
        <v>0</v>
      </c>
      <c r="K146" s="478"/>
      <c r="L146" s="487"/>
      <c r="M146" s="478">
        <f t="shared" si="44"/>
        <v>0</v>
      </c>
      <c r="N146" s="487"/>
      <c r="O146" s="478">
        <f t="shared" si="45"/>
        <v>0</v>
      </c>
      <c r="P146" s="478">
        <f t="shared" si="46"/>
        <v>0</v>
      </c>
    </row>
    <row r="147" spans="2:16" ht="12.5">
      <c r="B147" s="160" t="str">
        <f t="shared" si="31"/>
        <v/>
      </c>
      <c r="C147" s="472">
        <f>IF(D93="","-",+C146+1)</f>
        <v>2061</v>
      </c>
      <c r="D147" s="346">
        <f>IF(F146+SUM(E$99:E146)=D$92,F146,D$92-SUM(E$99:E146))</f>
        <v>0</v>
      </c>
      <c r="E147" s="484">
        <f t="shared" si="38"/>
        <v>0</v>
      </c>
      <c r="F147" s="485">
        <f t="shared" si="39"/>
        <v>0</v>
      </c>
      <c r="G147" s="485">
        <f t="shared" si="40"/>
        <v>0</v>
      </c>
      <c r="H147" s="488">
        <f t="shared" si="41"/>
        <v>0</v>
      </c>
      <c r="I147" s="542">
        <f t="shared" si="42"/>
        <v>0</v>
      </c>
      <c r="J147" s="478">
        <f t="shared" si="32"/>
        <v>0</v>
      </c>
      <c r="K147" s="478"/>
      <c r="L147" s="487"/>
      <c r="M147" s="478">
        <f t="shared" si="44"/>
        <v>0</v>
      </c>
      <c r="N147" s="487"/>
      <c r="O147" s="478">
        <f t="shared" si="45"/>
        <v>0</v>
      </c>
      <c r="P147" s="478">
        <f t="shared" si="46"/>
        <v>0</v>
      </c>
    </row>
    <row r="148" spans="2:16" ht="12.5">
      <c r="B148" s="160" t="str">
        <f t="shared" si="31"/>
        <v/>
      </c>
      <c r="C148" s="472">
        <f>IF(D93="","-",+C147+1)</f>
        <v>2062</v>
      </c>
      <c r="D148" s="346">
        <f>IF(F147+SUM(E$99:E147)=D$92,F147,D$92-SUM(E$99:E147))</f>
        <v>0</v>
      </c>
      <c r="E148" s="484">
        <f t="shared" si="38"/>
        <v>0</v>
      </c>
      <c r="F148" s="485">
        <f t="shared" si="39"/>
        <v>0</v>
      </c>
      <c r="G148" s="485">
        <f t="shared" si="40"/>
        <v>0</v>
      </c>
      <c r="H148" s="488">
        <f t="shared" si="41"/>
        <v>0</v>
      </c>
      <c r="I148" s="542">
        <f t="shared" si="42"/>
        <v>0</v>
      </c>
      <c r="J148" s="478">
        <f t="shared" si="32"/>
        <v>0</v>
      </c>
      <c r="K148" s="478"/>
      <c r="L148" s="487"/>
      <c r="M148" s="478">
        <f t="shared" si="44"/>
        <v>0</v>
      </c>
      <c r="N148" s="487"/>
      <c r="O148" s="478">
        <f t="shared" si="45"/>
        <v>0</v>
      </c>
      <c r="P148" s="478">
        <f t="shared" si="46"/>
        <v>0</v>
      </c>
    </row>
    <row r="149" spans="2:16" ht="12.5">
      <c r="B149" s="160" t="str">
        <f t="shared" si="31"/>
        <v/>
      </c>
      <c r="C149" s="472">
        <f>IF(D93="","-",+C148+1)</f>
        <v>2063</v>
      </c>
      <c r="D149" s="346">
        <f>IF(F148+SUM(E$99:E148)=D$92,F148,D$92-SUM(E$99:E148))</f>
        <v>0</v>
      </c>
      <c r="E149" s="484">
        <f t="shared" si="38"/>
        <v>0</v>
      </c>
      <c r="F149" s="485">
        <f t="shared" si="39"/>
        <v>0</v>
      </c>
      <c r="G149" s="485">
        <f t="shared" si="40"/>
        <v>0</v>
      </c>
      <c r="H149" s="488">
        <f t="shared" si="41"/>
        <v>0</v>
      </c>
      <c r="I149" s="542">
        <f t="shared" si="42"/>
        <v>0</v>
      </c>
      <c r="J149" s="478">
        <f t="shared" si="32"/>
        <v>0</v>
      </c>
      <c r="K149" s="478"/>
      <c r="L149" s="487"/>
      <c r="M149" s="478">
        <f t="shared" si="44"/>
        <v>0</v>
      </c>
      <c r="N149" s="487"/>
      <c r="O149" s="478">
        <f t="shared" si="45"/>
        <v>0</v>
      </c>
      <c r="P149" s="478">
        <f t="shared" si="46"/>
        <v>0</v>
      </c>
    </row>
    <row r="150" spans="2:16" ht="12.5">
      <c r="B150" s="160" t="str">
        <f t="shared" si="31"/>
        <v/>
      </c>
      <c r="C150" s="472">
        <f>IF(D93="","-",+C149+1)</f>
        <v>2064</v>
      </c>
      <c r="D150" s="346">
        <f>IF(F149+SUM(E$99:E149)=D$92,F149,D$92-SUM(E$99:E149))</f>
        <v>0</v>
      </c>
      <c r="E150" s="484">
        <f t="shared" si="38"/>
        <v>0</v>
      </c>
      <c r="F150" s="485">
        <f t="shared" si="39"/>
        <v>0</v>
      </c>
      <c r="G150" s="485">
        <f t="shared" si="40"/>
        <v>0</v>
      </c>
      <c r="H150" s="488">
        <f t="shared" si="41"/>
        <v>0</v>
      </c>
      <c r="I150" s="542">
        <f t="shared" si="42"/>
        <v>0</v>
      </c>
      <c r="J150" s="478">
        <f t="shared" si="32"/>
        <v>0</v>
      </c>
      <c r="K150" s="478"/>
      <c r="L150" s="487"/>
      <c r="M150" s="478">
        <f t="shared" si="44"/>
        <v>0</v>
      </c>
      <c r="N150" s="487"/>
      <c r="O150" s="478">
        <f t="shared" si="45"/>
        <v>0</v>
      </c>
      <c r="P150" s="478">
        <f t="shared" si="46"/>
        <v>0</v>
      </c>
    </row>
    <row r="151" spans="2:16" ht="12.5">
      <c r="B151" s="160" t="str">
        <f t="shared" si="31"/>
        <v/>
      </c>
      <c r="C151" s="472">
        <f>IF(D93="","-",+C150+1)</f>
        <v>2065</v>
      </c>
      <c r="D151" s="346">
        <f>IF(F150+SUM(E$99:E150)=D$92,F150,D$92-SUM(E$99:E150))</f>
        <v>0</v>
      </c>
      <c r="E151" s="484">
        <f t="shared" si="38"/>
        <v>0</v>
      </c>
      <c r="F151" s="485">
        <f t="shared" si="39"/>
        <v>0</v>
      </c>
      <c r="G151" s="485">
        <f t="shared" si="40"/>
        <v>0</v>
      </c>
      <c r="H151" s="488">
        <f t="shared" si="41"/>
        <v>0</v>
      </c>
      <c r="I151" s="542">
        <f t="shared" si="42"/>
        <v>0</v>
      </c>
      <c r="J151" s="478">
        <f t="shared" si="32"/>
        <v>0</v>
      </c>
      <c r="K151" s="478"/>
      <c r="L151" s="487"/>
      <c r="M151" s="478">
        <f t="shared" si="44"/>
        <v>0</v>
      </c>
      <c r="N151" s="487"/>
      <c r="O151" s="478">
        <f t="shared" si="45"/>
        <v>0</v>
      </c>
      <c r="P151" s="478">
        <f t="shared" si="46"/>
        <v>0</v>
      </c>
    </row>
    <row r="152" spans="2:16" ht="12.5">
      <c r="B152" s="160" t="str">
        <f t="shared" si="31"/>
        <v/>
      </c>
      <c r="C152" s="472">
        <f>IF(D93="","-",+C151+1)</f>
        <v>2066</v>
      </c>
      <c r="D152" s="346">
        <f>IF(F151+SUM(E$99:E151)=D$92,F151,D$92-SUM(E$99:E151))</f>
        <v>0</v>
      </c>
      <c r="E152" s="484">
        <f t="shared" si="38"/>
        <v>0</v>
      </c>
      <c r="F152" s="485">
        <f t="shared" si="39"/>
        <v>0</v>
      </c>
      <c r="G152" s="485">
        <f t="shared" si="40"/>
        <v>0</v>
      </c>
      <c r="H152" s="488">
        <f t="shared" si="41"/>
        <v>0</v>
      </c>
      <c r="I152" s="542">
        <f t="shared" si="42"/>
        <v>0</v>
      </c>
      <c r="J152" s="478">
        <f t="shared" si="32"/>
        <v>0</v>
      </c>
      <c r="K152" s="478"/>
      <c r="L152" s="487"/>
      <c r="M152" s="478">
        <f t="shared" si="44"/>
        <v>0</v>
      </c>
      <c r="N152" s="487"/>
      <c r="O152" s="478">
        <f t="shared" si="45"/>
        <v>0</v>
      </c>
      <c r="P152" s="478">
        <f t="shared" si="46"/>
        <v>0</v>
      </c>
    </row>
    <row r="153" spans="2:16" ht="12.5">
      <c r="B153" s="160" t="str">
        <f t="shared" si="31"/>
        <v/>
      </c>
      <c r="C153" s="472">
        <f>IF(D93="","-",+C152+1)</f>
        <v>2067</v>
      </c>
      <c r="D153" s="346">
        <f>IF(F152+SUM(E$99:E152)=D$92,F152,D$92-SUM(E$99:E152))</f>
        <v>0</v>
      </c>
      <c r="E153" s="484">
        <f t="shared" si="38"/>
        <v>0</v>
      </c>
      <c r="F153" s="485">
        <f t="shared" si="39"/>
        <v>0</v>
      </c>
      <c r="G153" s="485">
        <f t="shared" si="40"/>
        <v>0</v>
      </c>
      <c r="H153" s="488">
        <f t="shared" si="41"/>
        <v>0</v>
      </c>
      <c r="I153" s="542">
        <f t="shared" si="42"/>
        <v>0</v>
      </c>
      <c r="J153" s="478">
        <f t="shared" si="32"/>
        <v>0</v>
      </c>
      <c r="K153" s="478"/>
      <c r="L153" s="487"/>
      <c r="M153" s="478">
        <f t="shared" si="44"/>
        <v>0</v>
      </c>
      <c r="N153" s="487"/>
      <c r="O153" s="478">
        <f t="shared" si="45"/>
        <v>0</v>
      </c>
      <c r="P153" s="478">
        <f t="shared" si="46"/>
        <v>0</v>
      </c>
    </row>
    <row r="154" spans="2:16" ht="13" thickBot="1">
      <c r="B154" s="160" t="str">
        <f t="shared" si="31"/>
        <v/>
      </c>
      <c r="C154" s="489">
        <f>IF(D93="","-",+C153+1)</f>
        <v>2068</v>
      </c>
      <c r="D154" s="346">
        <f>IF(F153+SUM(E$99:E153)=D$92,F153,D$92-SUM(E$99:E153))</f>
        <v>0</v>
      </c>
      <c r="E154" s="484">
        <f t="shared" si="38"/>
        <v>0</v>
      </c>
      <c r="F154" s="485">
        <f t="shared" si="39"/>
        <v>0</v>
      </c>
      <c r="G154" s="485">
        <f t="shared" si="40"/>
        <v>0</v>
      </c>
      <c r="H154" s="488">
        <f t="shared" si="41"/>
        <v>0</v>
      </c>
      <c r="I154" s="542">
        <f t="shared" si="42"/>
        <v>0</v>
      </c>
      <c r="J154" s="478">
        <f t="shared" si="32"/>
        <v>0</v>
      </c>
      <c r="K154" s="478"/>
      <c r="L154" s="494"/>
      <c r="M154" s="495">
        <f t="shared" si="44"/>
        <v>0</v>
      </c>
      <c r="N154" s="494"/>
      <c r="O154" s="495">
        <f t="shared" si="45"/>
        <v>0</v>
      </c>
      <c r="P154" s="495">
        <f t="shared" si="46"/>
        <v>0</v>
      </c>
    </row>
    <row r="155" spans="2:16" ht="12.5">
      <c r="C155" s="346" t="s">
        <v>77</v>
      </c>
      <c r="D155" s="347"/>
      <c r="E155" s="347">
        <f>SUM(E99:E154)</f>
        <v>1035552</v>
      </c>
      <c r="F155" s="347"/>
      <c r="G155" s="347"/>
      <c r="H155" s="347">
        <f>SUM(H99:H154)</f>
        <v>3587102.7031079456</v>
      </c>
      <c r="I155" s="347">
        <f>SUM(I99:I154)</f>
        <v>3587102.7031079456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7" priority="1" stopIfTrue="1" operator="equal">
      <formula>$I$10</formula>
    </cfRule>
  </conditionalFormatting>
  <conditionalFormatting sqref="C99:C154">
    <cfRule type="cellIs" dxfId="3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4"/>
  <dimension ref="A1:P162"/>
  <sheetViews>
    <sheetView view="pageBreakPreview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15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266683.87179487181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266683.87179487181</v>
      </c>
      <c r="O6" s="232"/>
      <c r="P6" s="232"/>
    </row>
    <row r="7" spans="1:16" ht="13.5" thickBot="1">
      <c r="C7" s="431" t="s">
        <v>46</v>
      </c>
      <c r="D7" s="599" t="s">
        <v>253</v>
      </c>
      <c r="E7" s="600"/>
      <c r="F7" s="600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252</v>
      </c>
      <c r="E9" s="577" t="s">
        <v>261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2246629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57605.871794871797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84">
        <v>2295000</v>
      </c>
      <c r="E17" s="608">
        <v>36778.846153846156</v>
      </c>
      <c r="F17" s="584">
        <v>2258221.153846154</v>
      </c>
      <c r="G17" s="608">
        <v>347642.78736560291</v>
      </c>
      <c r="H17" s="587">
        <v>347642.78736560291</v>
      </c>
      <c r="I17" s="475">
        <v>0</v>
      </c>
      <c r="J17" s="475"/>
      <c r="K17" s="476">
        <f t="shared" ref="K17:K22" si="0">G17</f>
        <v>347642.78736560291</v>
      </c>
      <c r="L17" s="603">
        <f t="shared" ref="L17:L22" si="1">IF(K17&lt;&gt;0,+G17-K17,0)</f>
        <v>0</v>
      </c>
      <c r="M17" s="476">
        <f t="shared" ref="M17:M22" si="2">H17</f>
        <v>347642.78736560291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84">
        <v>2258221.153846154</v>
      </c>
      <c r="E18" s="585">
        <v>43204.395576923074</v>
      </c>
      <c r="F18" s="584">
        <v>2215016.7582692308</v>
      </c>
      <c r="G18" s="585">
        <v>348592.42580485216</v>
      </c>
      <c r="H18" s="587">
        <v>348592.42580485216</v>
      </c>
      <c r="I18" s="475">
        <v>0</v>
      </c>
      <c r="J18" s="475"/>
      <c r="K18" s="476">
        <f t="shared" si="0"/>
        <v>348592.42580485216</v>
      </c>
      <c r="L18" s="603">
        <f t="shared" si="1"/>
        <v>0</v>
      </c>
      <c r="M18" s="476">
        <f t="shared" si="2"/>
        <v>348592.42580485216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2016</v>
      </c>
      <c r="D19" s="584">
        <v>2166645.3282692307</v>
      </c>
      <c r="E19" s="585">
        <v>43204.395576923074</v>
      </c>
      <c r="F19" s="584">
        <v>2123440.9326923075</v>
      </c>
      <c r="G19" s="585">
        <v>321714.3955769231</v>
      </c>
      <c r="H19" s="587">
        <v>321714.3955769231</v>
      </c>
      <c r="I19" s="475">
        <f>H19-G19</f>
        <v>0</v>
      </c>
      <c r="J19" s="475"/>
      <c r="K19" s="476">
        <f t="shared" si="0"/>
        <v>321714.3955769231</v>
      </c>
      <c r="L19" s="603">
        <f t="shared" si="1"/>
        <v>0</v>
      </c>
      <c r="M19" s="476">
        <f t="shared" si="2"/>
        <v>321714.3955769231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/>
      </c>
      <c r="C20" s="472">
        <f>IF(D11="","-",+C19+1)</f>
        <v>2017</v>
      </c>
      <c r="D20" s="584">
        <v>2123440.9326923075</v>
      </c>
      <c r="E20" s="585">
        <v>48839.751521739126</v>
      </c>
      <c r="F20" s="584">
        <v>2074601.1811705683</v>
      </c>
      <c r="G20" s="585">
        <v>312854.75152173912</v>
      </c>
      <c r="H20" s="587">
        <v>312854.75152173912</v>
      </c>
      <c r="I20" s="475">
        <f t="shared" ref="I20:I72" si="4">H20-G20</f>
        <v>0</v>
      </c>
      <c r="J20" s="475"/>
      <c r="K20" s="476">
        <f t="shared" si="0"/>
        <v>312854.75152173912</v>
      </c>
      <c r="L20" s="603">
        <f t="shared" si="1"/>
        <v>0</v>
      </c>
      <c r="M20" s="476">
        <f t="shared" si="2"/>
        <v>312854.75152173912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/>
      </c>
      <c r="C21" s="472">
        <f>IF(D11="","-",+C20+1)</f>
        <v>2018</v>
      </c>
      <c r="D21" s="584">
        <v>2074601.1811705683</v>
      </c>
      <c r="E21" s="585">
        <v>49925.079333333328</v>
      </c>
      <c r="F21" s="584">
        <v>2024676.101837235</v>
      </c>
      <c r="G21" s="585">
        <v>295387.63187355472</v>
      </c>
      <c r="H21" s="587">
        <v>295387.63187355472</v>
      </c>
      <c r="I21" s="475">
        <f t="shared" si="4"/>
        <v>0</v>
      </c>
      <c r="J21" s="475"/>
      <c r="K21" s="476">
        <f t="shared" si="0"/>
        <v>295387.63187355472</v>
      </c>
      <c r="L21" s="603">
        <f t="shared" si="1"/>
        <v>0</v>
      </c>
      <c r="M21" s="476">
        <f t="shared" si="2"/>
        <v>295387.63187355472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84">
        <v>2024676.101837235</v>
      </c>
      <c r="E22" s="585">
        <v>56165.714249999997</v>
      </c>
      <c r="F22" s="584">
        <v>1968510.3875872351</v>
      </c>
      <c r="G22" s="585">
        <v>279098.59002601594</v>
      </c>
      <c r="H22" s="587">
        <v>279098.59002601594</v>
      </c>
      <c r="I22" s="475">
        <f t="shared" si="4"/>
        <v>0</v>
      </c>
      <c r="J22" s="475"/>
      <c r="K22" s="476">
        <f t="shared" si="0"/>
        <v>279098.59002601594</v>
      </c>
      <c r="L22" s="603">
        <f t="shared" si="1"/>
        <v>0</v>
      </c>
      <c r="M22" s="476">
        <f t="shared" si="2"/>
        <v>279098.59002601594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84">
        <v>1974751.0225039017</v>
      </c>
      <c r="E23" s="585">
        <v>53491.156428571427</v>
      </c>
      <c r="F23" s="584">
        <v>1921259.8660753304</v>
      </c>
      <c r="G23" s="585">
        <v>263885.04985844565</v>
      </c>
      <c r="H23" s="587">
        <v>263885.04985844565</v>
      </c>
      <c r="I23" s="475">
        <f t="shared" si="4"/>
        <v>0</v>
      </c>
      <c r="J23" s="475"/>
      <c r="K23" s="476">
        <f t="shared" ref="K23" si="7">G23</f>
        <v>263885.04985844565</v>
      </c>
      <c r="L23" s="603">
        <f t="shared" ref="L23" si="8">IF(K23&lt;&gt;0,+G23-K23,0)</f>
        <v>0</v>
      </c>
      <c r="M23" s="476">
        <f t="shared" ref="M23" si="9">H23</f>
        <v>263885.04985844565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584">
        <v>1915019.2311586635</v>
      </c>
      <c r="E24" s="585">
        <v>52247.176046511624</v>
      </c>
      <c r="F24" s="584">
        <v>1862772.0551121519</v>
      </c>
      <c r="G24" s="585">
        <v>253094.17604651162</v>
      </c>
      <c r="H24" s="587">
        <v>253094.17604651162</v>
      </c>
      <c r="I24" s="475">
        <f t="shared" si="4"/>
        <v>0</v>
      </c>
      <c r="J24" s="475"/>
      <c r="K24" s="476">
        <f t="shared" ref="K24" si="10">G24</f>
        <v>253094.17604651162</v>
      </c>
      <c r="L24" s="603">
        <f t="shared" ref="L24" si="11">IF(K24&lt;&gt;0,+G24-K24,0)</f>
        <v>0</v>
      </c>
      <c r="M24" s="476">
        <f t="shared" ref="M24" si="12">H24</f>
        <v>253094.17604651162</v>
      </c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584">
        <v>1862772.0551121519</v>
      </c>
      <c r="E25" s="585">
        <v>53491.156428571427</v>
      </c>
      <c r="F25" s="584">
        <v>1809280.8986835806</v>
      </c>
      <c r="G25" s="585">
        <v>248552.15642857144</v>
      </c>
      <c r="H25" s="587">
        <v>248552.15642857144</v>
      </c>
      <c r="I25" s="475">
        <f t="shared" si="4"/>
        <v>0</v>
      </c>
      <c r="J25" s="475"/>
      <c r="K25" s="476">
        <f t="shared" ref="K25" si="13">G25</f>
        <v>248552.15642857144</v>
      </c>
      <c r="L25" s="603">
        <f t="shared" ref="L25" si="14">IF(K25&lt;&gt;0,+G25-K25,0)</f>
        <v>0</v>
      </c>
      <c r="M25" s="476">
        <f t="shared" ref="M25" si="15">H25</f>
        <v>248552.15642857144</v>
      </c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>IU</v>
      </c>
      <c r="C26" s="472">
        <f>IF(D11="","-",+C25+1)</f>
        <v>2023</v>
      </c>
      <c r="D26" s="485">
        <f>IF(F25+SUM(E$17:E25)=D$10,F25,D$10-SUM(E$17:E25))</f>
        <v>1809281.3286835807</v>
      </c>
      <c r="E26" s="484">
        <f t="shared" ref="E26:E72" si="16">IF(+$I$14&lt;F25,$I$14,D26)</f>
        <v>57605.871794871797</v>
      </c>
      <c r="F26" s="485">
        <f t="shared" ref="F26:F72" si="17">+D26-E26</f>
        <v>1751675.456888709</v>
      </c>
      <c r="G26" s="486">
        <f t="shared" ref="G26:G72" si="18">ROUND(I$12*F26,0)+E26</f>
        <v>266683.87179487181</v>
      </c>
      <c r="H26" s="455">
        <f t="shared" ref="H26:H72" si="19">ROUND(I$13*F26,0)+E26</f>
        <v>266683.87179487181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1751675.456888709</v>
      </c>
      <c r="E27" s="484">
        <f t="shared" si="16"/>
        <v>57605.871794871797</v>
      </c>
      <c r="F27" s="485">
        <f t="shared" si="17"/>
        <v>1694069.5850938372</v>
      </c>
      <c r="G27" s="486">
        <f t="shared" si="18"/>
        <v>259807.87179487181</v>
      </c>
      <c r="H27" s="455">
        <f t="shared" si="19"/>
        <v>259807.87179487181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1694069.5850938372</v>
      </c>
      <c r="E28" s="484">
        <f t="shared" si="16"/>
        <v>57605.871794871797</v>
      </c>
      <c r="F28" s="485">
        <f t="shared" si="17"/>
        <v>1636463.7132989655</v>
      </c>
      <c r="G28" s="486">
        <f t="shared" si="18"/>
        <v>252932.87179487181</v>
      </c>
      <c r="H28" s="455">
        <f t="shared" si="19"/>
        <v>252932.87179487181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1636463.7132989655</v>
      </c>
      <c r="E29" s="484">
        <f t="shared" si="16"/>
        <v>57605.871794871797</v>
      </c>
      <c r="F29" s="485">
        <f t="shared" si="17"/>
        <v>1578857.8415040937</v>
      </c>
      <c r="G29" s="486">
        <f t="shared" si="18"/>
        <v>246056.87179487181</v>
      </c>
      <c r="H29" s="455">
        <f t="shared" si="19"/>
        <v>246056.87179487181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1578857.8415040937</v>
      </c>
      <c r="E30" s="484">
        <f t="shared" si="16"/>
        <v>57605.871794871797</v>
      </c>
      <c r="F30" s="485">
        <f t="shared" si="17"/>
        <v>1521251.969709222</v>
      </c>
      <c r="G30" s="486">
        <f t="shared" si="18"/>
        <v>239180.87179487181</v>
      </c>
      <c r="H30" s="455">
        <f t="shared" si="19"/>
        <v>239180.87179487181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1521251.969709222</v>
      </c>
      <c r="E31" s="484">
        <f t="shared" si="16"/>
        <v>57605.871794871797</v>
      </c>
      <c r="F31" s="485">
        <f t="shared" si="17"/>
        <v>1463646.0979143502</v>
      </c>
      <c r="G31" s="486">
        <f t="shared" si="18"/>
        <v>232304.87179487181</v>
      </c>
      <c r="H31" s="455">
        <f t="shared" si="19"/>
        <v>232304.87179487181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1463646.0979143502</v>
      </c>
      <c r="E32" s="484">
        <f t="shared" si="16"/>
        <v>57605.871794871797</v>
      </c>
      <c r="F32" s="485">
        <f t="shared" si="17"/>
        <v>1406040.2261194785</v>
      </c>
      <c r="G32" s="486">
        <f t="shared" si="18"/>
        <v>225428.87179487181</v>
      </c>
      <c r="H32" s="455">
        <f t="shared" si="19"/>
        <v>225428.87179487181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1406040.2261194785</v>
      </c>
      <c r="E33" s="484">
        <f t="shared" si="16"/>
        <v>57605.871794871797</v>
      </c>
      <c r="F33" s="485">
        <f t="shared" si="17"/>
        <v>1348434.3543246067</v>
      </c>
      <c r="G33" s="486">
        <f t="shared" si="18"/>
        <v>218553.87179487181</v>
      </c>
      <c r="H33" s="455">
        <f t="shared" si="19"/>
        <v>218553.87179487181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1348434.3543246067</v>
      </c>
      <c r="E34" s="484">
        <f t="shared" si="16"/>
        <v>57605.871794871797</v>
      </c>
      <c r="F34" s="485">
        <f t="shared" si="17"/>
        <v>1290828.482529735</v>
      </c>
      <c r="G34" s="486">
        <f t="shared" si="18"/>
        <v>211677.87179487181</v>
      </c>
      <c r="H34" s="455">
        <f t="shared" si="19"/>
        <v>211677.87179487181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1290828.482529735</v>
      </c>
      <c r="E35" s="484">
        <f t="shared" si="16"/>
        <v>57605.871794871797</v>
      </c>
      <c r="F35" s="485">
        <f t="shared" si="17"/>
        <v>1233222.6107348632</v>
      </c>
      <c r="G35" s="486">
        <f t="shared" si="18"/>
        <v>204801.87179487181</v>
      </c>
      <c r="H35" s="455">
        <f t="shared" si="19"/>
        <v>204801.87179487181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1233222.6107348632</v>
      </c>
      <c r="E36" s="484">
        <f t="shared" si="16"/>
        <v>57605.871794871797</v>
      </c>
      <c r="F36" s="485">
        <f t="shared" si="17"/>
        <v>1175616.7389399915</v>
      </c>
      <c r="G36" s="486">
        <f t="shared" si="18"/>
        <v>197925.87179487181</v>
      </c>
      <c r="H36" s="455">
        <f t="shared" si="19"/>
        <v>197925.87179487181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1175616.7389399915</v>
      </c>
      <c r="E37" s="484">
        <f t="shared" si="16"/>
        <v>57605.871794871797</v>
      </c>
      <c r="F37" s="485">
        <f t="shared" si="17"/>
        <v>1118010.8671451197</v>
      </c>
      <c r="G37" s="486">
        <f t="shared" si="18"/>
        <v>191050.87179487181</v>
      </c>
      <c r="H37" s="455">
        <f t="shared" si="19"/>
        <v>191050.87179487181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1118010.8671451197</v>
      </c>
      <c r="E38" s="484">
        <f t="shared" si="16"/>
        <v>57605.871794871797</v>
      </c>
      <c r="F38" s="485">
        <f t="shared" si="17"/>
        <v>1060404.9953502479</v>
      </c>
      <c r="G38" s="486">
        <f t="shared" si="18"/>
        <v>184174.87179487181</v>
      </c>
      <c r="H38" s="455">
        <f t="shared" si="19"/>
        <v>184174.87179487181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1060404.9953502479</v>
      </c>
      <c r="E39" s="484">
        <f t="shared" si="16"/>
        <v>57605.871794871797</v>
      </c>
      <c r="F39" s="485">
        <f t="shared" si="17"/>
        <v>1002799.1235553762</v>
      </c>
      <c r="G39" s="486">
        <f t="shared" si="18"/>
        <v>177298.87179487181</v>
      </c>
      <c r="H39" s="455">
        <f t="shared" si="19"/>
        <v>177298.87179487181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1002799.1235553762</v>
      </c>
      <c r="E40" s="484">
        <f t="shared" si="16"/>
        <v>57605.871794871797</v>
      </c>
      <c r="F40" s="485">
        <f t="shared" si="17"/>
        <v>945193.25176050444</v>
      </c>
      <c r="G40" s="486">
        <f t="shared" si="18"/>
        <v>170422.87179487181</v>
      </c>
      <c r="H40" s="455">
        <f t="shared" si="19"/>
        <v>170422.87179487181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945193.25176050444</v>
      </c>
      <c r="E41" s="484">
        <f t="shared" si="16"/>
        <v>57605.871794871797</v>
      </c>
      <c r="F41" s="485">
        <f t="shared" si="17"/>
        <v>887587.37996563269</v>
      </c>
      <c r="G41" s="486">
        <f t="shared" si="18"/>
        <v>163546.87179487181</v>
      </c>
      <c r="H41" s="455">
        <f t="shared" si="19"/>
        <v>163546.87179487181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887587.37996563269</v>
      </c>
      <c r="E42" s="484">
        <f t="shared" si="16"/>
        <v>57605.871794871797</v>
      </c>
      <c r="F42" s="485">
        <f t="shared" si="17"/>
        <v>829981.50817076094</v>
      </c>
      <c r="G42" s="486">
        <f t="shared" si="18"/>
        <v>156671.87179487181</v>
      </c>
      <c r="H42" s="455">
        <f t="shared" si="19"/>
        <v>156671.87179487181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829981.50817076094</v>
      </c>
      <c r="E43" s="484">
        <f t="shared" si="16"/>
        <v>57605.871794871797</v>
      </c>
      <c r="F43" s="485">
        <f t="shared" si="17"/>
        <v>772375.63637588918</v>
      </c>
      <c r="G43" s="486">
        <f t="shared" si="18"/>
        <v>149795.87179487181</v>
      </c>
      <c r="H43" s="455">
        <f t="shared" si="19"/>
        <v>149795.87179487181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772375.63637588918</v>
      </c>
      <c r="E44" s="484">
        <f t="shared" si="16"/>
        <v>57605.871794871797</v>
      </c>
      <c r="F44" s="485">
        <f t="shared" si="17"/>
        <v>714769.76458101743</v>
      </c>
      <c r="G44" s="486">
        <f t="shared" si="18"/>
        <v>142919.87179487181</v>
      </c>
      <c r="H44" s="455">
        <f t="shared" si="19"/>
        <v>142919.87179487181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714769.76458101743</v>
      </c>
      <c r="E45" s="484">
        <f t="shared" si="16"/>
        <v>57605.871794871797</v>
      </c>
      <c r="F45" s="485">
        <f t="shared" si="17"/>
        <v>657163.89278614568</v>
      </c>
      <c r="G45" s="486">
        <f t="shared" si="18"/>
        <v>136043.87179487181</v>
      </c>
      <c r="H45" s="455">
        <f t="shared" si="19"/>
        <v>136043.87179487181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657163.89278614568</v>
      </c>
      <c r="E46" s="484">
        <f t="shared" si="16"/>
        <v>57605.871794871797</v>
      </c>
      <c r="F46" s="485">
        <f t="shared" si="17"/>
        <v>599558.02099127392</v>
      </c>
      <c r="G46" s="486">
        <f t="shared" si="18"/>
        <v>129168.8717948718</v>
      </c>
      <c r="H46" s="455">
        <f t="shared" si="19"/>
        <v>129168.8717948718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599558.02099127392</v>
      </c>
      <c r="E47" s="484">
        <f t="shared" si="16"/>
        <v>57605.871794871797</v>
      </c>
      <c r="F47" s="485">
        <f t="shared" si="17"/>
        <v>541952.14919640217</v>
      </c>
      <c r="G47" s="486">
        <f t="shared" si="18"/>
        <v>122292.8717948718</v>
      </c>
      <c r="H47" s="455">
        <f t="shared" si="19"/>
        <v>122292.8717948718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541952.14919640217</v>
      </c>
      <c r="E48" s="484">
        <f t="shared" si="16"/>
        <v>57605.871794871797</v>
      </c>
      <c r="F48" s="485">
        <f t="shared" si="17"/>
        <v>484346.27740153036</v>
      </c>
      <c r="G48" s="486">
        <f t="shared" si="18"/>
        <v>115416.8717948718</v>
      </c>
      <c r="H48" s="455">
        <f t="shared" si="19"/>
        <v>115416.8717948718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484346.27740153036</v>
      </c>
      <c r="E49" s="484">
        <f t="shared" si="16"/>
        <v>57605.871794871797</v>
      </c>
      <c r="F49" s="485">
        <f t="shared" si="17"/>
        <v>426740.40560665855</v>
      </c>
      <c r="G49" s="486">
        <f t="shared" si="18"/>
        <v>108540.8717948718</v>
      </c>
      <c r="H49" s="455">
        <f t="shared" si="19"/>
        <v>108540.8717948718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426740.40560665855</v>
      </c>
      <c r="E50" s="484">
        <f t="shared" si="16"/>
        <v>57605.871794871797</v>
      </c>
      <c r="F50" s="485">
        <f t="shared" si="17"/>
        <v>369134.53381178674</v>
      </c>
      <c r="G50" s="486">
        <f t="shared" si="18"/>
        <v>101665.8717948718</v>
      </c>
      <c r="H50" s="455">
        <f t="shared" si="19"/>
        <v>101665.8717948718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369134.53381178674</v>
      </c>
      <c r="E51" s="484">
        <f t="shared" si="16"/>
        <v>57605.871794871797</v>
      </c>
      <c r="F51" s="485">
        <f t="shared" si="17"/>
        <v>311528.66201691492</v>
      </c>
      <c r="G51" s="486">
        <f t="shared" si="18"/>
        <v>94789.871794871797</v>
      </c>
      <c r="H51" s="455">
        <f t="shared" si="19"/>
        <v>94789.871794871797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311528.66201691492</v>
      </c>
      <c r="E52" s="484">
        <f t="shared" si="16"/>
        <v>57605.871794871797</v>
      </c>
      <c r="F52" s="485">
        <f t="shared" si="17"/>
        <v>253922.79022204311</v>
      </c>
      <c r="G52" s="486">
        <f t="shared" si="18"/>
        <v>87913.871794871797</v>
      </c>
      <c r="H52" s="455">
        <f t="shared" si="19"/>
        <v>87913.871794871797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253922.79022204311</v>
      </c>
      <c r="E53" s="484">
        <f t="shared" si="16"/>
        <v>57605.871794871797</v>
      </c>
      <c r="F53" s="485">
        <f t="shared" si="17"/>
        <v>196316.9184271713</v>
      </c>
      <c r="G53" s="486">
        <f t="shared" si="18"/>
        <v>81037.871794871797</v>
      </c>
      <c r="H53" s="455">
        <f t="shared" si="19"/>
        <v>81037.871794871797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196316.9184271713</v>
      </c>
      <c r="E54" s="484">
        <f t="shared" si="16"/>
        <v>57605.871794871797</v>
      </c>
      <c r="F54" s="485">
        <f t="shared" si="17"/>
        <v>138711.04663229949</v>
      </c>
      <c r="G54" s="486">
        <f t="shared" si="18"/>
        <v>74161.871794871797</v>
      </c>
      <c r="H54" s="455">
        <f t="shared" si="19"/>
        <v>74161.871794871797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138711.04663229949</v>
      </c>
      <c r="E55" s="484">
        <f t="shared" si="16"/>
        <v>57605.871794871797</v>
      </c>
      <c r="F55" s="485">
        <f t="shared" si="17"/>
        <v>81105.174837427694</v>
      </c>
      <c r="G55" s="486">
        <f t="shared" si="18"/>
        <v>67286.871794871797</v>
      </c>
      <c r="H55" s="455">
        <f t="shared" si="19"/>
        <v>67286.871794871797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81105.174837427694</v>
      </c>
      <c r="E56" s="484">
        <f t="shared" si="16"/>
        <v>57605.871794871797</v>
      </c>
      <c r="F56" s="485">
        <f t="shared" si="17"/>
        <v>23499.303042555897</v>
      </c>
      <c r="G56" s="486">
        <f t="shared" si="18"/>
        <v>60410.871794871797</v>
      </c>
      <c r="H56" s="455">
        <f t="shared" si="19"/>
        <v>60410.871794871797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23499.303042555897</v>
      </c>
      <c r="E57" s="484">
        <f t="shared" si="16"/>
        <v>23499.303042555897</v>
      </c>
      <c r="F57" s="485">
        <f t="shared" si="17"/>
        <v>0</v>
      </c>
      <c r="G57" s="486">
        <f t="shared" si="18"/>
        <v>23499.303042555897</v>
      </c>
      <c r="H57" s="455">
        <f t="shared" si="19"/>
        <v>23499.303042555897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0</v>
      </c>
      <c r="E58" s="484">
        <f t="shared" si="16"/>
        <v>0</v>
      </c>
      <c r="F58" s="485">
        <f t="shared" si="17"/>
        <v>0</v>
      </c>
      <c r="G58" s="486">
        <f t="shared" si="18"/>
        <v>0</v>
      </c>
      <c r="H58" s="455">
        <f t="shared" si="19"/>
        <v>0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0</v>
      </c>
      <c r="E59" s="484">
        <f t="shared" si="16"/>
        <v>0</v>
      </c>
      <c r="F59" s="485">
        <f t="shared" si="17"/>
        <v>0</v>
      </c>
      <c r="G59" s="486">
        <f t="shared" si="18"/>
        <v>0</v>
      </c>
      <c r="H59" s="455">
        <f t="shared" si="19"/>
        <v>0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6"/>
        <v>0</v>
      </c>
      <c r="F60" s="485">
        <f t="shared" si="17"/>
        <v>0</v>
      </c>
      <c r="G60" s="486">
        <f t="shared" si="18"/>
        <v>0</v>
      </c>
      <c r="H60" s="455">
        <f t="shared" si="19"/>
        <v>0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6"/>
        <v>0</v>
      </c>
      <c r="F72" s="485">
        <f t="shared" si="17"/>
        <v>0</v>
      </c>
      <c r="G72" s="486">
        <f t="shared" si="18"/>
        <v>0</v>
      </c>
      <c r="H72" s="455">
        <f t="shared" si="19"/>
        <v>0</v>
      </c>
      <c r="I72" s="475">
        <f t="shared" si="4"/>
        <v>0</v>
      </c>
      <c r="J72" s="475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2246629</v>
      </c>
      <c r="F73" s="347"/>
      <c r="G73" s="347">
        <f>SUM(G17:G72)</f>
        <v>7764289.293185804</v>
      </c>
      <c r="H73" s="347">
        <f>SUM(H17:H72)</f>
        <v>7764289.293185804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15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253094.17604651162</v>
      </c>
      <c r="N87" s="508">
        <f>IF(J92&lt;D11,0,VLOOKUP(J92,C17:O72,11))</f>
        <v>253094.17604651162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269073.93615813903</v>
      </c>
      <c r="N88" s="512">
        <f>IF(J92&lt;D11,0,VLOOKUP(J92,C99:P154,7))</f>
        <v>269073.93615813903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Locust Grove to Lone Star 115 kV Rebuild 2.1 miles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15979.760111627402</v>
      </c>
      <c r="N89" s="517">
        <f>+N88-N87</f>
        <v>15979.760111627402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TP2009093</v>
      </c>
      <c r="E91" s="522" t="str">
        <f>E9</f>
        <v xml:space="preserve">  SPP Project ID = 649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2246629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604" t="s">
        <v>272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54796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 t="str">
        <f>IF(D93= "","-",D93)</f>
        <v>2014</v>
      </c>
      <c r="D99" s="584">
        <v>0</v>
      </c>
      <c r="E99" s="585">
        <v>36003.333333333336</v>
      </c>
      <c r="F99" s="586">
        <v>2210625.2366666663</v>
      </c>
      <c r="G99" s="605">
        <v>1105312.6183333332</v>
      </c>
      <c r="H99" s="606">
        <v>191405.76922123961</v>
      </c>
      <c r="I99" s="607">
        <v>191405.76922123961</v>
      </c>
      <c r="J99" s="478">
        <v>0</v>
      </c>
      <c r="K99" s="478"/>
      <c r="L99" s="476">
        <f t="shared" ref="L99:L105" si="21">H99</f>
        <v>191405.76922123961</v>
      </c>
      <c r="M99" s="348">
        <f t="shared" ref="M99:M105" si="22">IF(L99&lt;&gt;0,+H99-L99,0)</f>
        <v>0</v>
      </c>
      <c r="N99" s="476">
        <f t="shared" ref="N99:N105" si="23">I99</f>
        <v>191405.76922123961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/>
      </c>
      <c r="C100" s="472">
        <f>IF(D93="","-",+C99+1)</f>
        <v>2015</v>
      </c>
      <c r="D100" s="584">
        <v>2210625.2366666663</v>
      </c>
      <c r="E100" s="585">
        <v>43204</v>
      </c>
      <c r="F100" s="586">
        <v>2167421.2366666663</v>
      </c>
      <c r="G100" s="586">
        <v>2189023.2366666663</v>
      </c>
      <c r="H100" s="606">
        <v>341878.62002899748</v>
      </c>
      <c r="I100" s="607">
        <v>341878.62002899748</v>
      </c>
      <c r="J100" s="478">
        <f>+I100-H100</f>
        <v>0</v>
      </c>
      <c r="K100" s="478"/>
      <c r="L100" s="476">
        <f t="shared" si="21"/>
        <v>341878.62002899748</v>
      </c>
      <c r="M100" s="348">
        <f t="shared" si="22"/>
        <v>0</v>
      </c>
      <c r="N100" s="476">
        <f t="shared" si="23"/>
        <v>341878.62002899748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24">IF(D101=F100,"","IU")</f>
        <v/>
      </c>
      <c r="C101" s="472">
        <f>IF(D93="","-",+C100+1)</f>
        <v>2016</v>
      </c>
      <c r="D101" s="584">
        <v>2167421.2366666663</v>
      </c>
      <c r="E101" s="585">
        <v>48840</v>
      </c>
      <c r="F101" s="586">
        <v>2118581.2366666663</v>
      </c>
      <c r="G101" s="586">
        <v>2143001.2366666663</v>
      </c>
      <c r="H101" s="606">
        <v>325106.60926354182</v>
      </c>
      <c r="I101" s="607">
        <v>325106.60926354182</v>
      </c>
      <c r="J101" s="478">
        <f t="shared" ref="J101:J154" si="25">+I101-H101</f>
        <v>0</v>
      </c>
      <c r="K101" s="478"/>
      <c r="L101" s="476">
        <f t="shared" si="21"/>
        <v>325106.60926354182</v>
      </c>
      <c r="M101" s="348">
        <f t="shared" si="22"/>
        <v>0</v>
      </c>
      <c r="N101" s="476">
        <f t="shared" si="23"/>
        <v>325106.60926354182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24"/>
        <v/>
      </c>
      <c r="C102" s="472">
        <f>IF(D93="","-",+C101+1)</f>
        <v>2017</v>
      </c>
      <c r="D102" s="584">
        <v>2118581.2366666663</v>
      </c>
      <c r="E102" s="585">
        <v>48840</v>
      </c>
      <c r="F102" s="586">
        <v>2069741.2366666663</v>
      </c>
      <c r="G102" s="586">
        <v>2094161.2366666663</v>
      </c>
      <c r="H102" s="606">
        <v>314489.63330060086</v>
      </c>
      <c r="I102" s="607">
        <v>314489.63330060086</v>
      </c>
      <c r="J102" s="478">
        <f t="shared" si="25"/>
        <v>0</v>
      </c>
      <c r="K102" s="478"/>
      <c r="L102" s="476">
        <f t="shared" si="21"/>
        <v>314489.63330060086</v>
      </c>
      <c r="M102" s="348">
        <f t="shared" si="22"/>
        <v>0</v>
      </c>
      <c r="N102" s="476">
        <f t="shared" si="23"/>
        <v>314489.63330060086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24"/>
        <v/>
      </c>
      <c r="C103" s="472">
        <f>IF(D93="","-",+C102+1)</f>
        <v>2018</v>
      </c>
      <c r="D103" s="584">
        <v>2069741.2366666663</v>
      </c>
      <c r="E103" s="585">
        <v>52247</v>
      </c>
      <c r="F103" s="586">
        <v>2017494.2366666663</v>
      </c>
      <c r="G103" s="586">
        <v>2043617.7366666663</v>
      </c>
      <c r="H103" s="606">
        <v>262199.22655399318</v>
      </c>
      <c r="I103" s="607">
        <v>262199.22655399318</v>
      </c>
      <c r="J103" s="478">
        <f t="shared" si="25"/>
        <v>0</v>
      </c>
      <c r="K103" s="478"/>
      <c r="L103" s="476">
        <f t="shared" si="21"/>
        <v>262199.22655399318</v>
      </c>
      <c r="M103" s="348">
        <f t="shared" si="22"/>
        <v>0</v>
      </c>
      <c r="N103" s="476">
        <f t="shared" si="23"/>
        <v>262199.22655399318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24"/>
        <v/>
      </c>
      <c r="C104" s="472">
        <f>IF(D93="","-",+C103+1)</f>
        <v>2019</v>
      </c>
      <c r="D104" s="584">
        <v>2017494.2366666663</v>
      </c>
      <c r="E104" s="585">
        <v>54796</v>
      </c>
      <c r="F104" s="586">
        <v>1962698.2366666663</v>
      </c>
      <c r="G104" s="586">
        <v>1990096.2366666663</v>
      </c>
      <c r="H104" s="606">
        <v>260002.83525061089</v>
      </c>
      <c r="I104" s="607">
        <v>260002.83525061089</v>
      </c>
      <c r="J104" s="478">
        <f t="shared" si="25"/>
        <v>0</v>
      </c>
      <c r="K104" s="478"/>
      <c r="L104" s="476">
        <f t="shared" si="21"/>
        <v>260002.83525061089</v>
      </c>
      <c r="M104" s="348">
        <f t="shared" si="22"/>
        <v>0</v>
      </c>
      <c r="N104" s="476">
        <f t="shared" si="23"/>
        <v>260002.83525061089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 ht="12.5">
      <c r="B105" s="160" t="str">
        <f t="shared" si="24"/>
        <v/>
      </c>
      <c r="C105" s="472">
        <f>IF(D93="","-",+C104+1)</f>
        <v>2020</v>
      </c>
      <c r="D105" s="584">
        <v>1962698.2366666663</v>
      </c>
      <c r="E105" s="585">
        <v>52247</v>
      </c>
      <c r="F105" s="586">
        <v>1910451.2366666663</v>
      </c>
      <c r="G105" s="586">
        <v>1936574.7366666663</v>
      </c>
      <c r="H105" s="606">
        <v>275528.74296443292</v>
      </c>
      <c r="I105" s="607">
        <v>275528.74296443292</v>
      </c>
      <c r="J105" s="478">
        <f t="shared" si="25"/>
        <v>0</v>
      </c>
      <c r="K105" s="478"/>
      <c r="L105" s="476">
        <f t="shared" si="21"/>
        <v>275528.74296443292</v>
      </c>
      <c r="M105" s="348">
        <f t="shared" si="22"/>
        <v>0</v>
      </c>
      <c r="N105" s="476">
        <f t="shared" si="23"/>
        <v>275528.74296443292</v>
      </c>
      <c r="O105" s="478">
        <f t="shared" si="26"/>
        <v>0</v>
      </c>
      <c r="P105" s="478">
        <f t="shared" si="27"/>
        <v>0</v>
      </c>
    </row>
    <row r="106" spans="1:16" ht="12.5">
      <c r="B106" s="160" t="str">
        <f t="shared" si="24"/>
        <v>IU</v>
      </c>
      <c r="C106" s="472">
        <f>IF(D93="","-",+C105+1)</f>
        <v>2021</v>
      </c>
      <c r="D106" s="346">
        <f>IF(F105+SUM(E$99:E105)=D$92,F105,D$92-SUM(E$99:E105))</f>
        <v>1910451.6666666665</v>
      </c>
      <c r="E106" s="484">
        <f t="shared" ref="E106:E154" si="28">IF(+J$96&lt;F105,J$96,D106)</f>
        <v>54796</v>
      </c>
      <c r="F106" s="485">
        <f t="shared" ref="F106:F154" si="29">+D106-E106</f>
        <v>1855655.6666666665</v>
      </c>
      <c r="G106" s="485">
        <f t="shared" ref="G106:G154" si="30">+(F106+D106)/2</f>
        <v>1883053.6666666665</v>
      </c>
      <c r="H106" s="488">
        <f t="shared" ref="H106:H154" si="31">+J$94*G106+E106</f>
        <v>269073.93615813903</v>
      </c>
      <c r="I106" s="542">
        <f t="shared" ref="I106:I154" si="32">+J$95*G106+E106</f>
        <v>269073.93615813903</v>
      </c>
      <c r="J106" s="478">
        <f t="shared" si="25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6"/>
        <v>0</v>
      </c>
      <c r="P106" s="478">
        <f t="shared" si="27"/>
        <v>0</v>
      </c>
    </row>
    <row r="107" spans="1:16" ht="12.5">
      <c r="B107" s="160" t="str">
        <f t="shared" si="24"/>
        <v/>
      </c>
      <c r="C107" s="472">
        <f>IF(D93="","-",+C106+1)</f>
        <v>2022</v>
      </c>
      <c r="D107" s="346">
        <f>IF(F106+SUM(E$99:E106)=D$92,F106,D$92-SUM(E$99:E106))</f>
        <v>1855655.6666666665</v>
      </c>
      <c r="E107" s="484">
        <f t="shared" si="28"/>
        <v>54796</v>
      </c>
      <c r="F107" s="485">
        <f t="shared" si="29"/>
        <v>1800859.6666666665</v>
      </c>
      <c r="G107" s="485">
        <f t="shared" si="30"/>
        <v>1828257.6666666665</v>
      </c>
      <c r="H107" s="488">
        <f t="shared" si="31"/>
        <v>262838.5462711869</v>
      </c>
      <c r="I107" s="542">
        <f t="shared" si="32"/>
        <v>262838.5462711869</v>
      </c>
      <c r="J107" s="478">
        <f t="shared" si="25"/>
        <v>0</v>
      </c>
      <c r="K107" s="478"/>
      <c r="L107" s="487"/>
      <c r="M107" s="478">
        <f t="shared" si="33"/>
        <v>0</v>
      </c>
      <c r="N107" s="487"/>
      <c r="O107" s="478">
        <f t="shared" si="26"/>
        <v>0</v>
      </c>
      <c r="P107" s="478">
        <f t="shared" si="27"/>
        <v>0</v>
      </c>
    </row>
    <row r="108" spans="1:16" ht="12.5">
      <c r="B108" s="160" t="str">
        <f t="shared" si="24"/>
        <v/>
      </c>
      <c r="C108" s="472">
        <f>IF(D93="","-",+C107+1)</f>
        <v>2023</v>
      </c>
      <c r="D108" s="346">
        <f>IF(F107+SUM(E$99:E107)=D$92,F107,D$92-SUM(E$99:E107))</f>
        <v>1800859.6666666665</v>
      </c>
      <c r="E108" s="484">
        <f t="shared" si="28"/>
        <v>54796</v>
      </c>
      <c r="F108" s="485">
        <f t="shared" si="29"/>
        <v>1746063.6666666665</v>
      </c>
      <c r="G108" s="485">
        <f t="shared" si="30"/>
        <v>1773461.6666666665</v>
      </c>
      <c r="H108" s="488">
        <f t="shared" si="31"/>
        <v>256603.15638423484</v>
      </c>
      <c r="I108" s="542">
        <f t="shared" si="32"/>
        <v>256603.15638423484</v>
      </c>
      <c r="J108" s="478">
        <f t="shared" si="25"/>
        <v>0</v>
      </c>
      <c r="K108" s="478"/>
      <c r="L108" s="487"/>
      <c r="M108" s="478">
        <f t="shared" si="33"/>
        <v>0</v>
      </c>
      <c r="N108" s="487"/>
      <c r="O108" s="478">
        <f t="shared" si="26"/>
        <v>0</v>
      </c>
      <c r="P108" s="478">
        <f t="shared" si="27"/>
        <v>0</v>
      </c>
    </row>
    <row r="109" spans="1:16" ht="12.5">
      <c r="B109" s="160" t="str">
        <f t="shared" si="24"/>
        <v/>
      </c>
      <c r="C109" s="472">
        <f>IF(D93="","-",+C108+1)</f>
        <v>2024</v>
      </c>
      <c r="D109" s="346">
        <f>IF(F108+SUM(E$99:E108)=D$92,F108,D$92-SUM(E$99:E108))</f>
        <v>1746063.6666666665</v>
      </c>
      <c r="E109" s="484">
        <f t="shared" si="28"/>
        <v>54796</v>
      </c>
      <c r="F109" s="485">
        <f t="shared" si="29"/>
        <v>1691267.6666666665</v>
      </c>
      <c r="G109" s="485">
        <f t="shared" si="30"/>
        <v>1718665.6666666665</v>
      </c>
      <c r="H109" s="488">
        <f t="shared" si="31"/>
        <v>250367.76649728275</v>
      </c>
      <c r="I109" s="542">
        <f t="shared" si="32"/>
        <v>250367.76649728275</v>
      </c>
      <c r="J109" s="478">
        <f t="shared" si="25"/>
        <v>0</v>
      </c>
      <c r="K109" s="478"/>
      <c r="L109" s="487"/>
      <c r="M109" s="478">
        <f t="shared" si="33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4"/>
        <v/>
      </c>
      <c r="C110" s="472">
        <f>IF(D93="","-",+C109+1)</f>
        <v>2025</v>
      </c>
      <c r="D110" s="346">
        <f>IF(F109+SUM(E$99:E109)=D$92,F109,D$92-SUM(E$99:E109))</f>
        <v>1691267.6666666665</v>
      </c>
      <c r="E110" s="484">
        <f t="shared" si="28"/>
        <v>54796</v>
      </c>
      <c r="F110" s="485">
        <f t="shared" si="29"/>
        <v>1636471.6666666665</v>
      </c>
      <c r="G110" s="485">
        <f t="shared" si="30"/>
        <v>1663869.6666666665</v>
      </c>
      <c r="H110" s="488">
        <f t="shared" si="31"/>
        <v>244132.37661033066</v>
      </c>
      <c r="I110" s="542">
        <f t="shared" si="32"/>
        <v>244132.37661033066</v>
      </c>
      <c r="J110" s="478">
        <f t="shared" si="25"/>
        <v>0</v>
      </c>
      <c r="K110" s="478"/>
      <c r="L110" s="487"/>
      <c r="M110" s="478">
        <f t="shared" si="33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4"/>
        <v/>
      </c>
      <c r="C111" s="472">
        <f>IF(D93="","-",+C110+1)</f>
        <v>2026</v>
      </c>
      <c r="D111" s="346">
        <f>IF(F110+SUM(E$99:E110)=D$92,F110,D$92-SUM(E$99:E110))</f>
        <v>1636471.6666666665</v>
      </c>
      <c r="E111" s="484">
        <f t="shared" si="28"/>
        <v>54796</v>
      </c>
      <c r="F111" s="485">
        <f t="shared" si="29"/>
        <v>1581675.6666666665</v>
      </c>
      <c r="G111" s="485">
        <f t="shared" si="30"/>
        <v>1609073.6666666665</v>
      </c>
      <c r="H111" s="488">
        <f t="shared" si="31"/>
        <v>237896.98672337856</v>
      </c>
      <c r="I111" s="542">
        <f t="shared" si="32"/>
        <v>237896.98672337856</v>
      </c>
      <c r="J111" s="478">
        <f t="shared" si="25"/>
        <v>0</v>
      </c>
      <c r="K111" s="478"/>
      <c r="L111" s="487"/>
      <c r="M111" s="478">
        <f t="shared" si="33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4"/>
        <v/>
      </c>
      <c r="C112" s="472">
        <f>IF(D93="","-",+C111+1)</f>
        <v>2027</v>
      </c>
      <c r="D112" s="346">
        <f>IF(F111+SUM(E$99:E111)=D$92,F111,D$92-SUM(E$99:E111))</f>
        <v>1581675.6666666665</v>
      </c>
      <c r="E112" s="484">
        <f t="shared" si="28"/>
        <v>54796</v>
      </c>
      <c r="F112" s="485">
        <f t="shared" si="29"/>
        <v>1526879.6666666665</v>
      </c>
      <c r="G112" s="485">
        <f t="shared" si="30"/>
        <v>1554277.6666666665</v>
      </c>
      <c r="H112" s="488">
        <f t="shared" si="31"/>
        <v>231661.59683642647</v>
      </c>
      <c r="I112" s="542">
        <f t="shared" si="32"/>
        <v>231661.59683642647</v>
      </c>
      <c r="J112" s="478">
        <f t="shared" si="25"/>
        <v>0</v>
      </c>
      <c r="K112" s="478"/>
      <c r="L112" s="487"/>
      <c r="M112" s="478">
        <f t="shared" si="33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4"/>
        <v/>
      </c>
      <c r="C113" s="472">
        <f>IF(D93="","-",+C112+1)</f>
        <v>2028</v>
      </c>
      <c r="D113" s="346">
        <f>IF(F112+SUM(E$99:E112)=D$92,F112,D$92-SUM(E$99:E112))</f>
        <v>1526879.6666666665</v>
      </c>
      <c r="E113" s="484">
        <f t="shared" si="28"/>
        <v>54796</v>
      </c>
      <c r="F113" s="485">
        <f t="shared" si="29"/>
        <v>1472083.6666666665</v>
      </c>
      <c r="G113" s="485">
        <f t="shared" si="30"/>
        <v>1499481.6666666665</v>
      </c>
      <c r="H113" s="488">
        <f t="shared" si="31"/>
        <v>225426.20694947438</v>
      </c>
      <c r="I113" s="542">
        <f t="shared" si="32"/>
        <v>225426.20694947438</v>
      </c>
      <c r="J113" s="478">
        <f t="shared" si="25"/>
        <v>0</v>
      </c>
      <c r="K113" s="478"/>
      <c r="L113" s="487"/>
      <c r="M113" s="478">
        <f t="shared" si="33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4"/>
        <v/>
      </c>
      <c r="C114" s="472">
        <f>IF(D93="","-",+C113+1)</f>
        <v>2029</v>
      </c>
      <c r="D114" s="346">
        <f>IF(F113+SUM(E$99:E113)=D$92,F113,D$92-SUM(E$99:E113))</f>
        <v>1472083.6666666665</v>
      </c>
      <c r="E114" s="484">
        <f t="shared" si="28"/>
        <v>54796</v>
      </c>
      <c r="F114" s="485">
        <f t="shared" si="29"/>
        <v>1417287.6666666665</v>
      </c>
      <c r="G114" s="485">
        <f t="shared" si="30"/>
        <v>1444685.6666666665</v>
      </c>
      <c r="H114" s="488">
        <f t="shared" si="31"/>
        <v>219190.81706252228</v>
      </c>
      <c r="I114" s="542">
        <f t="shared" si="32"/>
        <v>219190.81706252228</v>
      </c>
      <c r="J114" s="478">
        <f t="shared" si="25"/>
        <v>0</v>
      </c>
      <c r="K114" s="478"/>
      <c r="L114" s="487"/>
      <c r="M114" s="478">
        <f t="shared" si="33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4"/>
        <v/>
      </c>
      <c r="C115" s="472">
        <f>IF(D93="","-",+C114+1)</f>
        <v>2030</v>
      </c>
      <c r="D115" s="346">
        <f>IF(F114+SUM(E$99:E114)=D$92,F114,D$92-SUM(E$99:E114))</f>
        <v>1417287.6666666665</v>
      </c>
      <c r="E115" s="484">
        <f t="shared" si="28"/>
        <v>54796</v>
      </c>
      <c r="F115" s="485">
        <f t="shared" si="29"/>
        <v>1362491.6666666665</v>
      </c>
      <c r="G115" s="485">
        <f t="shared" si="30"/>
        <v>1389889.6666666665</v>
      </c>
      <c r="H115" s="488">
        <f t="shared" si="31"/>
        <v>212955.42717557019</v>
      </c>
      <c r="I115" s="542">
        <f t="shared" si="32"/>
        <v>212955.42717557019</v>
      </c>
      <c r="J115" s="478">
        <f t="shared" si="25"/>
        <v>0</v>
      </c>
      <c r="K115" s="478"/>
      <c r="L115" s="487"/>
      <c r="M115" s="478">
        <f t="shared" si="33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4"/>
        <v/>
      </c>
      <c r="C116" s="472">
        <f>IF(D93="","-",+C115+1)</f>
        <v>2031</v>
      </c>
      <c r="D116" s="346">
        <f>IF(F115+SUM(E$99:E115)=D$92,F115,D$92-SUM(E$99:E115))</f>
        <v>1362491.6666666665</v>
      </c>
      <c r="E116" s="484">
        <f t="shared" si="28"/>
        <v>54796</v>
      </c>
      <c r="F116" s="485">
        <f t="shared" si="29"/>
        <v>1307695.6666666665</v>
      </c>
      <c r="G116" s="485">
        <f t="shared" si="30"/>
        <v>1335093.6666666665</v>
      </c>
      <c r="H116" s="488">
        <f t="shared" si="31"/>
        <v>206720.0372886181</v>
      </c>
      <c r="I116" s="542">
        <f t="shared" si="32"/>
        <v>206720.0372886181</v>
      </c>
      <c r="J116" s="478">
        <f t="shared" si="25"/>
        <v>0</v>
      </c>
      <c r="K116" s="478"/>
      <c r="L116" s="487"/>
      <c r="M116" s="478">
        <f t="shared" si="33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4"/>
        <v/>
      </c>
      <c r="C117" s="472">
        <f>IF(D93="","-",+C116+1)</f>
        <v>2032</v>
      </c>
      <c r="D117" s="346">
        <f>IF(F116+SUM(E$99:E116)=D$92,F116,D$92-SUM(E$99:E116))</f>
        <v>1307695.6666666665</v>
      </c>
      <c r="E117" s="484">
        <f t="shared" si="28"/>
        <v>54796</v>
      </c>
      <c r="F117" s="485">
        <f t="shared" si="29"/>
        <v>1252899.6666666665</v>
      </c>
      <c r="G117" s="485">
        <f t="shared" si="30"/>
        <v>1280297.6666666665</v>
      </c>
      <c r="H117" s="488">
        <f t="shared" si="31"/>
        <v>200484.64740166601</v>
      </c>
      <c r="I117" s="542">
        <f t="shared" si="32"/>
        <v>200484.64740166601</v>
      </c>
      <c r="J117" s="478">
        <f t="shared" si="25"/>
        <v>0</v>
      </c>
      <c r="K117" s="478"/>
      <c r="L117" s="487"/>
      <c r="M117" s="478">
        <f t="shared" si="33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4"/>
        <v/>
      </c>
      <c r="C118" s="472">
        <f>IF(D93="","-",+C117+1)</f>
        <v>2033</v>
      </c>
      <c r="D118" s="346">
        <f>IF(F117+SUM(E$99:E117)=D$92,F117,D$92-SUM(E$99:E117))</f>
        <v>1252899.6666666665</v>
      </c>
      <c r="E118" s="484">
        <f t="shared" si="28"/>
        <v>54796</v>
      </c>
      <c r="F118" s="485">
        <f t="shared" si="29"/>
        <v>1198103.6666666665</v>
      </c>
      <c r="G118" s="485">
        <f t="shared" si="30"/>
        <v>1225501.6666666665</v>
      </c>
      <c r="H118" s="488">
        <f t="shared" si="31"/>
        <v>194249.25751471394</v>
      </c>
      <c r="I118" s="542">
        <f t="shared" si="32"/>
        <v>194249.25751471394</v>
      </c>
      <c r="J118" s="478">
        <f t="shared" si="25"/>
        <v>0</v>
      </c>
      <c r="K118" s="478"/>
      <c r="L118" s="487"/>
      <c r="M118" s="478">
        <f t="shared" si="33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4"/>
        <v/>
      </c>
      <c r="C119" s="472">
        <f>IF(D93="","-",+C118+1)</f>
        <v>2034</v>
      </c>
      <c r="D119" s="346">
        <f>IF(F118+SUM(E$99:E118)=D$92,F118,D$92-SUM(E$99:E118))</f>
        <v>1198103.6666666665</v>
      </c>
      <c r="E119" s="484">
        <f t="shared" si="28"/>
        <v>54796</v>
      </c>
      <c r="F119" s="485">
        <f t="shared" si="29"/>
        <v>1143307.6666666665</v>
      </c>
      <c r="G119" s="485">
        <f t="shared" si="30"/>
        <v>1170705.6666666665</v>
      </c>
      <c r="H119" s="488">
        <f t="shared" si="31"/>
        <v>188013.86762776185</v>
      </c>
      <c r="I119" s="542">
        <f t="shared" si="32"/>
        <v>188013.86762776185</v>
      </c>
      <c r="J119" s="478">
        <f t="shared" si="25"/>
        <v>0</v>
      </c>
      <c r="K119" s="478"/>
      <c r="L119" s="487"/>
      <c r="M119" s="478">
        <f t="shared" si="33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4"/>
        <v/>
      </c>
      <c r="C120" s="472">
        <f>IF(D93="","-",+C119+1)</f>
        <v>2035</v>
      </c>
      <c r="D120" s="346">
        <f>IF(F119+SUM(E$99:E119)=D$92,F119,D$92-SUM(E$99:E119))</f>
        <v>1143307.6666666665</v>
      </c>
      <c r="E120" s="484">
        <f t="shared" si="28"/>
        <v>54796</v>
      </c>
      <c r="F120" s="485">
        <f t="shared" si="29"/>
        <v>1088511.6666666665</v>
      </c>
      <c r="G120" s="485">
        <f t="shared" si="30"/>
        <v>1115909.6666666665</v>
      </c>
      <c r="H120" s="488">
        <f t="shared" si="31"/>
        <v>181778.47774080973</v>
      </c>
      <c r="I120" s="542">
        <f t="shared" si="32"/>
        <v>181778.47774080973</v>
      </c>
      <c r="J120" s="478">
        <f t="shared" si="25"/>
        <v>0</v>
      </c>
      <c r="K120" s="478"/>
      <c r="L120" s="487"/>
      <c r="M120" s="478">
        <f t="shared" si="33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4"/>
        <v/>
      </c>
      <c r="C121" s="472">
        <f>IF(D93="","-",+C120+1)</f>
        <v>2036</v>
      </c>
      <c r="D121" s="346">
        <f>IF(F120+SUM(E$99:E120)=D$92,F120,D$92-SUM(E$99:E120))</f>
        <v>1088511.6666666665</v>
      </c>
      <c r="E121" s="484">
        <f t="shared" si="28"/>
        <v>54796</v>
      </c>
      <c r="F121" s="485">
        <f t="shared" si="29"/>
        <v>1033715.6666666665</v>
      </c>
      <c r="G121" s="485">
        <f t="shared" si="30"/>
        <v>1061113.6666666665</v>
      </c>
      <c r="H121" s="488">
        <f t="shared" si="31"/>
        <v>175543.08785385767</v>
      </c>
      <c r="I121" s="542">
        <f t="shared" si="32"/>
        <v>175543.08785385767</v>
      </c>
      <c r="J121" s="478">
        <f t="shared" si="25"/>
        <v>0</v>
      </c>
      <c r="K121" s="478"/>
      <c r="L121" s="487"/>
      <c r="M121" s="478">
        <f t="shared" si="33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4"/>
        <v/>
      </c>
      <c r="C122" s="472">
        <f>IF(D93="","-",+C121+1)</f>
        <v>2037</v>
      </c>
      <c r="D122" s="346">
        <f>IF(F121+SUM(E$99:E121)=D$92,F121,D$92-SUM(E$99:E121))</f>
        <v>1033715.6666666665</v>
      </c>
      <c r="E122" s="484">
        <f t="shared" si="28"/>
        <v>54796</v>
      </c>
      <c r="F122" s="485">
        <f t="shared" si="29"/>
        <v>978919.66666666651</v>
      </c>
      <c r="G122" s="485">
        <f t="shared" si="30"/>
        <v>1006317.6666666665</v>
      </c>
      <c r="H122" s="488">
        <f t="shared" si="31"/>
        <v>169307.69796690557</v>
      </c>
      <c r="I122" s="542">
        <f t="shared" si="32"/>
        <v>169307.69796690557</v>
      </c>
      <c r="J122" s="478">
        <f t="shared" si="25"/>
        <v>0</v>
      </c>
      <c r="K122" s="478"/>
      <c r="L122" s="487"/>
      <c r="M122" s="478">
        <f t="shared" si="33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4"/>
        <v/>
      </c>
      <c r="C123" s="472">
        <f>IF(D93="","-",+C122+1)</f>
        <v>2038</v>
      </c>
      <c r="D123" s="346">
        <f>IF(F122+SUM(E$99:E122)=D$92,F122,D$92-SUM(E$99:E122))</f>
        <v>978919.66666666651</v>
      </c>
      <c r="E123" s="484">
        <f t="shared" si="28"/>
        <v>54796</v>
      </c>
      <c r="F123" s="485">
        <f t="shared" si="29"/>
        <v>924123.66666666651</v>
      </c>
      <c r="G123" s="485">
        <f t="shared" si="30"/>
        <v>951521.66666666651</v>
      </c>
      <c r="H123" s="488">
        <f t="shared" si="31"/>
        <v>163072.30807995348</v>
      </c>
      <c r="I123" s="542">
        <f t="shared" si="32"/>
        <v>163072.30807995348</v>
      </c>
      <c r="J123" s="478">
        <f t="shared" si="25"/>
        <v>0</v>
      </c>
      <c r="K123" s="478"/>
      <c r="L123" s="487"/>
      <c r="M123" s="478">
        <f t="shared" si="33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4"/>
        <v/>
      </c>
      <c r="C124" s="472">
        <f>IF(D93="","-",+C123+1)</f>
        <v>2039</v>
      </c>
      <c r="D124" s="346">
        <f>IF(F123+SUM(E$99:E123)=D$92,F123,D$92-SUM(E$99:E123))</f>
        <v>924123.66666666651</v>
      </c>
      <c r="E124" s="484">
        <f t="shared" si="28"/>
        <v>54796</v>
      </c>
      <c r="F124" s="485">
        <f t="shared" si="29"/>
        <v>869327.66666666651</v>
      </c>
      <c r="G124" s="485">
        <f t="shared" si="30"/>
        <v>896725.66666666651</v>
      </c>
      <c r="H124" s="488">
        <f t="shared" si="31"/>
        <v>156836.91819300139</v>
      </c>
      <c r="I124" s="542">
        <f t="shared" si="32"/>
        <v>156836.91819300139</v>
      </c>
      <c r="J124" s="478">
        <f t="shared" si="25"/>
        <v>0</v>
      </c>
      <c r="K124" s="478"/>
      <c r="L124" s="487"/>
      <c r="M124" s="478">
        <f t="shared" si="33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4"/>
        <v/>
      </c>
      <c r="C125" s="472">
        <f>IF(D93="","-",+C124+1)</f>
        <v>2040</v>
      </c>
      <c r="D125" s="346">
        <f>IF(F124+SUM(E$99:E124)=D$92,F124,D$92-SUM(E$99:E124))</f>
        <v>869327.66666666651</v>
      </c>
      <c r="E125" s="484">
        <f t="shared" si="28"/>
        <v>54796</v>
      </c>
      <c r="F125" s="485">
        <f t="shared" si="29"/>
        <v>814531.66666666651</v>
      </c>
      <c r="G125" s="485">
        <f t="shared" si="30"/>
        <v>841929.66666666651</v>
      </c>
      <c r="H125" s="488">
        <f t="shared" si="31"/>
        <v>150601.52830604929</v>
      </c>
      <c r="I125" s="542">
        <f t="shared" si="32"/>
        <v>150601.52830604929</v>
      </c>
      <c r="J125" s="478">
        <f t="shared" si="25"/>
        <v>0</v>
      </c>
      <c r="K125" s="478"/>
      <c r="L125" s="487"/>
      <c r="M125" s="478">
        <f t="shared" si="33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4"/>
        <v/>
      </c>
      <c r="C126" s="472">
        <f>IF(D93="","-",+C125+1)</f>
        <v>2041</v>
      </c>
      <c r="D126" s="346">
        <f>IF(F125+SUM(E$99:E125)=D$92,F125,D$92-SUM(E$99:E125))</f>
        <v>814531.66666666651</v>
      </c>
      <c r="E126" s="484">
        <f t="shared" si="28"/>
        <v>54796</v>
      </c>
      <c r="F126" s="485">
        <f t="shared" si="29"/>
        <v>759735.66666666651</v>
      </c>
      <c r="G126" s="485">
        <f t="shared" si="30"/>
        <v>787133.66666666651</v>
      </c>
      <c r="H126" s="488">
        <f t="shared" si="31"/>
        <v>144366.1384190972</v>
      </c>
      <c r="I126" s="542">
        <f t="shared" si="32"/>
        <v>144366.1384190972</v>
      </c>
      <c r="J126" s="478">
        <f t="shared" si="25"/>
        <v>0</v>
      </c>
      <c r="K126" s="478"/>
      <c r="L126" s="487"/>
      <c r="M126" s="478">
        <f t="shared" si="33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4"/>
        <v/>
      </c>
      <c r="C127" s="472">
        <f>IF(D93="","-",+C126+1)</f>
        <v>2042</v>
      </c>
      <c r="D127" s="346">
        <f>IF(F126+SUM(E$99:E126)=D$92,F126,D$92-SUM(E$99:E126))</f>
        <v>759735.66666666651</v>
      </c>
      <c r="E127" s="484">
        <f t="shared" si="28"/>
        <v>54796</v>
      </c>
      <c r="F127" s="485">
        <f t="shared" si="29"/>
        <v>704939.66666666651</v>
      </c>
      <c r="G127" s="485">
        <f t="shared" si="30"/>
        <v>732337.66666666651</v>
      </c>
      <c r="H127" s="488">
        <f t="shared" si="31"/>
        <v>138130.74853214511</v>
      </c>
      <c r="I127" s="542">
        <f t="shared" si="32"/>
        <v>138130.74853214511</v>
      </c>
      <c r="J127" s="478">
        <f t="shared" si="25"/>
        <v>0</v>
      </c>
      <c r="K127" s="478"/>
      <c r="L127" s="487"/>
      <c r="M127" s="478">
        <f t="shared" si="33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4"/>
        <v/>
      </c>
      <c r="C128" s="472">
        <f>IF(D93="","-",+C127+1)</f>
        <v>2043</v>
      </c>
      <c r="D128" s="346">
        <f>IF(F127+SUM(E$99:E127)=D$92,F127,D$92-SUM(E$99:E127))</f>
        <v>704939.66666666651</v>
      </c>
      <c r="E128" s="484">
        <f t="shared" si="28"/>
        <v>54796</v>
      </c>
      <c r="F128" s="485">
        <f t="shared" si="29"/>
        <v>650143.66666666651</v>
      </c>
      <c r="G128" s="485">
        <f t="shared" si="30"/>
        <v>677541.66666666651</v>
      </c>
      <c r="H128" s="488">
        <f t="shared" si="31"/>
        <v>131895.35864519302</v>
      </c>
      <c r="I128" s="542">
        <f t="shared" si="32"/>
        <v>131895.35864519302</v>
      </c>
      <c r="J128" s="478">
        <f t="shared" si="25"/>
        <v>0</v>
      </c>
      <c r="K128" s="478"/>
      <c r="L128" s="487"/>
      <c r="M128" s="478">
        <f t="shared" si="33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4"/>
        <v/>
      </c>
      <c r="C129" s="472">
        <f>IF(D93="","-",+C128+1)</f>
        <v>2044</v>
      </c>
      <c r="D129" s="346">
        <f>IF(F128+SUM(E$99:E128)=D$92,F128,D$92-SUM(E$99:E128))</f>
        <v>650143.66666666651</v>
      </c>
      <c r="E129" s="484">
        <f t="shared" si="28"/>
        <v>54796</v>
      </c>
      <c r="F129" s="485">
        <f t="shared" si="29"/>
        <v>595347.66666666651</v>
      </c>
      <c r="G129" s="485">
        <f t="shared" si="30"/>
        <v>622745.66666666651</v>
      </c>
      <c r="H129" s="488">
        <f t="shared" si="31"/>
        <v>125659.96875824094</v>
      </c>
      <c r="I129" s="542">
        <f t="shared" si="32"/>
        <v>125659.96875824094</v>
      </c>
      <c r="J129" s="478">
        <f t="shared" si="25"/>
        <v>0</v>
      </c>
      <c r="K129" s="478"/>
      <c r="L129" s="487"/>
      <c r="M129" s="478">
        <f t="shared" si="33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4"/>
        <v/>
      </c>
      <c r="C130" s="472">
        <f>IF(D93="","-",+C129+1)</f>
        <v>2045</v>
      </c>
      <c r="D130" s="346">
        <f>IF(F129+SUM(E$99:E129)=D$92,F129,D$92-SUM(E$99:E129))</f>
        <v>595347.66666666651</v>
      </c>
      <c r="E130" s="484">
        <f t="shared" si="28"/>
        <v>54796</v>
      </c>
      <c r="F130" s="485">
        <f t="shared" si="29"/>
        <v>540551.66666666651</v>
      </c>
      <c r="G130" s="485">
        <f t="shared" si="30"/>
        <v>567949.66666666651</v>
      </c>
      <c r="H130" s="488">
        <f t="shared" si="31"/>
        <v>119424.57887128883</v>
      </c>
      <c r="I130" s="542">
        <f t="shared" si="32"/>
        <v>119424.57887128883</v>
      </c>
      <c r="J130" s="478">
        <f t="shared" si="25"/>
        <v>0</v>
      </c>
      <c r="K130" s="478"/>
      <c r="L130" s="487"/>
      <c r="M130" s="478">
        <f t="shared" si="33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4"/>
        <v/>
      </c>
      <c r="C131" s="472">
        <f>IF(D93="","-",+C130+1)</f>
        <v>2046</v>
      </c>
      <c r="D131" s="346">
        <f>IF(F130+SUM(E$99:E130)=D$92,F130,D$92-SUM(E$99:E130))</f>
        <v>540551.66666666651</v>
      </c>
      <c r="E131" s="484">
        <f t="shared" si="28"/>
        <v>54796</v>
      </c>
      <c r="F131" s="485">
        <f t="shared" si="29"/>
        <v>485755.66666666651</v>
      </c>
      <c r="G131" s="485">
        <f t="shared" si="30"/>
        <v>513153.66666666651</v>
      </c>
      <c r="H131" s="488">
        <f t="shared" si="31"/>
        <v>113189.18898433675</v>
      </c>
      <c r="I131" s="542">
        <f t="shared" si="32"/>
        <v>113189.18898433675</v>
      </c>
      <c r="J131" s="478">
        <f t="shared" si="25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 ht="12.5">
      <c r="B132" s="160" t="str">
        <f t="shared" si="24"/>
        <v/>
      </c>
      <c r="C132" s="472">
        <f>IF(D93="","-",+C131+1)</f>
        <v>2047</v>
      </c>
      <c r="D132" s="346">
        <f>IF(F131+SUM(E$99:E131)=D$92,F131,D$92-SUM(E$99:E131))</f>
        <v>485755.66666666651</v>
      </c>
      <c r="E132" s="484">
        <f t="shared" si="28"/>
        <v>54796</v>
      </c>
      <c r="F132" s="485">
        <f t="shared" si="29"/>
        <v>430959.66666666651</v>
      </c>
      <c r="G132" s="485">
        <f t="shared" si="30"/>
        <v>458357.66666666651</v>
      </c>
      <c r="H132" s="488">
        <f t="shared" si="31"/>
        <v>106953.79909738466</v>
      </c>
      <c r="I132" s="542">
        <f t="shared" si="32"/>
        <v>106953.79909738466</v>
      </c>
      <c r="J132" s="478">
        <f t="shared" si="25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 ht="12.5">
      <c r="B133" s="160" t="str">
        <f t="shared" si="24"/>
        <v/>
      </c>
      <c r="C133" s="472">
        <f>IF(D93="","-",+C132+1)</f>
        <v>2048</v>
      </c>
      <c r="D133" s="346">
        <f>IF(F132+SUM(E$99:E132)=D$92,F132,D$92-SUM(E$99:E132))</f>
        <v>430959.66666666651</v>
      </c>
      <c r="E133" s="484">
        <f t="shared" si="28"/>
        <v>54796</v>
      </c>
      <c r="F133" s="485">
        <f t="shared" si="29"/>
        <v>376163.66666666651</v>
      </c>
      <c r="G133" s="485">
        <f t="shared" si="30"/>
        <v>403561.66666666651</v>
      </c>
      <c r="H133" s="488">
        <f t="shared" si="31"/>
        <v>100718.40921043257</v>
      </c>
      <c r="I133" s="542">
        <f t="shared" si="32"/>
        <v>100718.40921043257</v>
      </c>
      <c r="J133" s="478">
        <f t="shared" si="25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 ht="12.5">
      <c r="B134" s="160" t="str">
        <f t="shared" si="24"/>
        <v/>
      </c>
      <c r="C134" s="472">
        <f>IF(D93="","-",+C133+1)</f>
        <v>2049</v>
      </c>
      <c r="D134" s="346">
        <f>IF(F133+SUM(E$99:E133)=D$92,F133,D$92-SUM(E$99:E133))</f>
        <v>376163.66666666651</v>
      </c>
      <c r="E134" s="484">
        <f t="shared" si="28"/>
        <v>54796</v>
      </c>
      <c r="F134" s="485">
        <f t="shared" si="29"/>
        <v>321367.66666666651</v>
      </c>
      <c r="G134" s="485">
        <f t="shared" si="30"/>
        <v>348765.66666666651</v>
      </c>
      <c r="H134" s="488">
        <f t="shared" si="31"/>
        <v>94483.019323480476</v>
      </c>
      <c r="I134" s="542">
        <f t="shared" si="32"/>
        <v>94483.019323480476</v>
      </c>
      <c r="J134" s="478">
        <f t="shared" si="25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 ht="12.5">
      <c r="B135" s="160" t="str">
        <f t="shared" si="24"/>
        <v/>
      </c>
      <c r="C135" s="472">
        <f>IF(D93="","-",+C134+1)</f>
        <v>2050</v>
      </c>
      <c r="D135" s="346">
        <f>IF(F134+SUM(E$99:E134)=D$92,F134,D$92-SUM(E$99:E134))</f>
        <v>321367.66666666651</v>
      </c>
      <c r="E135" s="484">
        <f t="shared" si="28"/>
        <v>54796</v>
      </c>
      <c r="F135" s="485">
        <f t="shared" si="29"/>
        <v>266571.66666666651</v>
      </c>
      <c r="G135" s="485">
        <f t="shared" si="30"/>
        <v>293969.66666666651</v>
      </c>
      <c r="H135" s="488">
        <f t="shared" si="31"/>
        <v>88247.629436528397</v>
      </c>
      <c r="I135" s="542">
        <f t="shared" si="32"/>
        <v>88247.629436528397</v>
      </c>
      <c r="J135" s="478">
        <f t="shared" si="25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 ht="12.5">
      <c r="B136" s="160" t="str">
        <f t="shared" si="24"/>
        <v/>
      </c>
      <c r="C136" s="472">
        <f>IF(D93="","-",+C135+1)</f>
        <v>2051</v>
      </c>
      <c r="D136" s="346">
        <f>IF(F135+SUM(E$99:E135)=D$92,F135,D$92-SUM(E$99:E135))</f>
        <v>266571.66666666651</v>
      </c>
      <c r="E136" s="484">
        <f t="shared" si="28"/>
        <v>54796</v>
      </c>
      <c r="F136" s="485">
        <f t="shared" si="29"/>
        <v>211775.66666666651</v>
      </c>
      <c r="G136" s="485">
        <f t="shared" si="30"/>
        <v>239173.66666666651</v>
      </c>
      <c r="H136" s="488">
        <f t="shared" si="31"/>
        <v>82012.239549576305</v>
      </c>
      <c r="I136" s="542">
        <f t="shared" si="32"/>
        <v>82012.239549576305</v>
      </c>
      <c r="J136" s="478">
        <f t="shared" si="25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 ht="12.5">
      <c r="B137" s="160" t="str">
        <f t="shared" si="24"/>
        <v/>
      </c>
      <c r="C137" s="472">
        <f>IF(D93="","-",+C136+1)</f>
        <v>2052</v>
      </c>
      <c r="D137" s="346">
        <f>IF(F136+SUM(E$99:E136)=D$92,F136,D$92-SUM(E$99:E136))</f>
        <v>211775.66666666651</v>
      </c>
      <c r="E137" s="484">
        <f t="shared" si="28"/>
        <v>54796</v>
      </c>
      <c r="F137" s="485">
        <f t="shared" si="29"/>
        <v>156979.66666666651</v>
      </c>
      <c r="G137" s="485">
        <f t="shared" si="30"/>
        <v>184377.66666666651</v>
      </c>
      <c r="H137" s="488">
        <f t="shared" si="31"/>
        <v>75776.849662624212</v>
      </c>
      <c r="I137" s="542">
        <f t="shared" si="32"/>
        <v>75776.849662624212</v>
      </c>
      <c r="J137" s="478">
        <f t="shared" si="25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 ht="12.5">
      <c r="B138" s="160" t="str">
        <f t="shared" si="24"/>
        <v/>
      </c>
      <c r="C138" s="472">
        <f>IF(D93="","-",+C137+1)</f>
        <v>2053</v>
      </c>
      <c r="D138" s="346">
        <f>IF(F137+SUM(E$99:E137)=D$92,F137,D$92-SUM(E$99:E137))</f>
        <v>156979.66666666651</v>
      </c>
      <c r="E138" s="484">
        <f t="shared" si="28"/>
        <v>54796</v>
      </c>
      <c r="F138" s="485">
        <f t="shared" si="29"/>
        <v>102183.66666666651</v>
      </c>
      <c r="G138" s="485">
        <f t="shared" si="30"/>
        <v>129581.66666666651</v>
      </c>
      <c r="H138" s="488">
        <f t="shared" si="31"/>
        <v>69541.45977567212</v>
      </c>
      <c r="I138" s="542">
        <f t="shared" si="32"/>
        <v>69541.45977567212</v>
      </c>
      <c r="J138" s="478">
        <f t="shared" si="25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 ht="12.5">
      <c r="B139" s="160" t="str">
        <f t="shared" si="24"/>
        <v/>
      </c>
      <c r="C139" s="472">
        <f>IF(D93="","-",+C138+1)</f>
        <v>2054</v>
      </c>
      <c r="D139" s="346">
        <f>IF(F138+SUM(E$99:E138)=D$92,F138,D$92-SUM(E$99:E138))</f>
        <v>102183.66666666651</v>
      </c>
      <c r="E139" s="484">
        <f t="shared" si="28"/>
        <v>54796</v>
      </c>
      <c r="F139" s="485">
        <f t="shared" si="29"/>
        <v>47387.666666666511</v>
      </c>
      <c r="G139" s="485">
        <f t="shared" si="30"/>
        <v>74785.666666666511</v>
      </c>
      <c r="H139" s="488">
        <f t="shared" si="31"/>
        <v>63306.069888720027</v>
      </c>
      <c r="I139" s="542">
        <f t="shared" si="32"/>
        <v>63306.069888720027</v>
      </c>
      <c r="J139" s="478">
        <f t="shared" si="25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 ht="12.5">
      <c r="B140" s="160" t="str">
        <f t="shared" si="24"/>
        <v/>
      </c>
      <c r="C140" s="472">
        <f>IF(D93="","-",+C139+1)</f>
        <v>2055</v>
      </c>
      <c r="D140" s="346">
        <f>IF(F139+SUM(E$99:E139)=D$92,F139,D$92-SUM(E$99:E139))</f>
        <v>47387.666666666511</v>
      </c>
      <c r="E140" s="484">
        <f t="shared" si="28"/>
        <v>47387.666666666511</v>
      </c>
      <c r="F140" s="485">
        <f t="shared" si="29"/>
        <v>0</v>
      </c>
      <c r="G140" s="485">
        <f t="shared" si="30"/>
        <v>23693.833333333256</v>
      </c>
      <c r="H140" s="488">
        <f t="shared" si="31"/>
        <v>50083.854139288502</v>
      </c>
      <c r="I140" s="542">
        <f t="shared" si="32"/>
        <v>50083.854139288502</v>
      </c>
      <c r="J140" s="478">
        <f t="shared" si="25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 ht="12.5">
      <c r="B141" s="160" t="str">
        <f t="shared" si="24"/>
        <v/>
      </c>
      <c r="C141" s="472">
        <f>IF(D93="","-",+C140+1)</f>
        <v>2056</v>
      </c>
      <c r="D141" s="346">
        <f>IF(F140+SUM(E$99:E140)=D$92,F140,D$92-SUM(E$99:E140))</f>
        <v>0</v>
      </c>
      <c r="E141" s="484">
        <f t="shared" si="28"/>
        <v>0</v>
      </c>
      <c r="F141" s="485">
        <f t="shared" si="29"/>
        <v>0</v>
      </c>
      <c r="G141" s="485">
        <f t="shared" si="30"/>
        <v>0</v>
      </c>
      <c r="H141" s="488">
        <f t="shared" si="31"/>
        <v>0</v>
      </c>
      <c r="I141" s="542">
        <f t="shared" si="32"/>
        <v>0</v>
      </c>
      <c r="J141" s="478">
        <f t="shared" si="25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 ht="12.5">
      <c r="B142" s="160" t="str">
        <f t="shared" si="24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8">
        <f t="shared" si="31"/>
        <v>0</v>
      </c>
      <c r="I142" s="542">
        <f t="shared" si="32"/>
        <v>0</v>
      </c>
      <c r="J142" s="478">
        <f t="shared" si="25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 ht="12.5">
      <c r="B143" s="160" t="str">
        <f t="shared" si="24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8">
        <f t="shared" si="31"/>
        <v>0</v>
      </c>
      <c r="I143" s="542">
        <f t="shared" si="32"/>
        <v>0</v>
      </c>
      <c r="J143" s="478">
        <f t="shared" si="25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 ht="12.5">
      <c r="B144" s="160" t="str">
        <f t="shared" si="24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8">
        <f t="shared" si="31"/>
        <v>0</v>
      </c>
      <c r="I144" s="542">
        <f t="shared" si="32"/>
        <v>0</v>
      </c>
      <c r="J144" s="478">
        <f t="shared" si="25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 ht="12.5">
      <c r="B145" s="160" t="str">
        <f t="shared" si="24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8">
        <f t="shared" si="31"/>
        <v>0</v>
      </c>
      <c r="I145" s="542">
        <f t="shared" si="32"/>
        <v>0</v>
      </c>
      <c r="J145" s="478">
        <f t="shared" si="25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 ht="12.5">
      <c r="B146" s="160" t="str">
        <f t="shared" si="24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8">
        <f t="shared" si="31"/>
        <v>0</v>
      </c>
      <c r="I146" s="542">
        <f t="shared" si="32"/>
        <v>0</v>
      </c>
      <c r="J146" s="478">
        <f t="shared" si="25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 ht="12.5">
      <c r="B147" s="160" t="str">
        <f t="shared" si="24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8">
        <f t="shared" si="31"/>
        <v>0</v>
      </c>
      <c r="I147" s="542">
        <f t="shared" si="32"/>
        <v>0</v>
      </c>
      <c r="J147" s="478">
        <f t="shared" si="25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 ht="12.5">
      <c r="B148" s="160" t="str">
        <f t="shared" si="24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8">
        <f t="shared" si="31"/>
        <v>0</v>
      </c>
      <c r="I148" s="542">
        <f t="shared" si="32"/>
        <v>0</v>
      </c>
      <c r="J148" s="478">
        <f t="shared" si="25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 ht="12.5">
      <c r="B149" s="160" t="str">
        <f t="shared" si="24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8">
        <f t="shared" si="31"/>
        <v>0</v>
      </c>
      <c r="I149" s="542">
        <f t="shared" si="32"/>
        <v>0</v>
      </c>
      <c r="J149" s="478">
        <f t="shared" si="25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 ht="12.5">
      <c r="B150" s="160" t="str">
        <f t="shared" si="24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8">
        <f t="shared" si="31"/>
        <v>0</v>
      </c>
      <c r="I150" s="542">
        <f t="shared" si="32"/>
        <v>0</v>
      </c>
      <c r="J150" s="478">
        <f t="shared" si="25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 ht="12.5">
      <c r="B151" s="160" t="str">
        <f t="shared" si="24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8">
        <f t="shared" si="31"/>
        <v>0</v>
      </c>
      <c r="I151" s="542">
        <f t="shared" si="32"/>
        <v>0</v>
      </c>
      <c r="J151" s="478">
        <f t="shared" si="25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 ht="12.5">
      <c r="B152" s="160" t="str">
        <f t="shared" si="24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8">
        <f t="shared" si="31"/>
        <v>0</v>
      </c>
      <c r="I152" s="542">
        <f t="shared" si="32"/>
        <v>0</v>
      </c>
      <c r="J152" s="478">
        <f t="shared" si="25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 ht="12.5">
      <c r="B153" s="160" t="str">
        <f t="shared" si="24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8">
        <f t="shared" si="31"/>
        <v>0</v>
      </c>
      <c r="I153" s="542">
        <f t="shared" si="32"/>
        <v>0</v>
      </c>
      <c r="J153" s="478">
        <f t="shared" si="25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" thickBot="1">
      <c r="B154" s="160" t="str">
        <f t="shared" si="24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28"/>
        <v>0</v>
      </c>
      <c r="F154" s="485">
        <f t="shared" si="29"/>
        <v>0</v>
      </c>
      <c r="G154" s="485">
        <f t="shared" si="30"/>
        <v>0</v>
      </c>
      <c r="H154" s="488">
        <f t="shared" si="31"/>
        <v>0</v>
      </c>
      <c r="I154" s="542">
        <f t="shared" si="32"/>
        <v>0</v>
      </c>
      <c r="J154" s="478">
        <f t="shared" si="25"/>
        <v>0</v>
      </c>
      <c r="K154" s="478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 ht="12.5">
      <c r="C155" s="346" t="s">
        <v>77</v>
      </c>
      <c r="D155" s="347"/>
      <c r="E155" s="347">
        <f>SUM(E99:E154)</f>
        <v>2246629</v>
      </c>
      <c r="F155" s="347"/>
      <c r="G155" s="347"/>
      <c r="H155" s="347">
        <f>SUM(H99:H154)</f>
        <v>7671155.3935193093</v>
      </c>
      <c r="I155" s="347">
        <f>SUM(I99:I154)</f>
        <v>7671155.3935193093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5" priority="1" stopIfTrue="1" operator="equal">
      <formula>$I$10</formula>
    </cfRule>
  </conditionalFormatting>
  <conditionalFormatting sqref="C99:C154">
    <cfRule type="cellIs" dxfId="3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5"/>
  <dimension ref="A1:P162"/>
  <sheetViews>
    <sheetView view="pageBreakPreview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16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609862.07794871787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609862.07794871787</v>
      </c>
      <c r="O6" s="232"/>
      <c r="P6" s="232"/>
    </row>
    <row r="7" spans="1:16" ht="13.5" thickBot="1">
      <c r="C7" s="431" t="s">
        <v>46</v>
      </c>
      <c r="D7" s="599" t="s">
        <v>255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254</v>
      </c>
      <c r="E9" s="577" t="s">
        <v>262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5059278.0399999991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129725.07794871792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84">
        <v>5300000</v>
      </c>
      <c r="E17" s="608">
        <v>0</v>
      </c>
      <c r="F17" s="584">
        <v>5300000</v>
      </c>
      <c r="G17" s="608">
        <v>729591.46876123699</v>
      </c>
      <c r="H17" s="587">
        <v>729591.46876123699</v>
      </c>
      <c r="I17" s="475">
        <v>0</v>
      </c>
      <c r="J17" s="475"/>
      <c r="K17" s="476">
        <f t="shared" ref="K17:K22" si="0">G17</f>
        <v>729591.46876123699</v>
      </c>
      <c r="L17" s="603">
        <f t="shared" ref="L17:L22" si="1">IF(K17&lt;&gt;0,+G17-K17,0)</f>
        <v>0</v>
      </c>
      <c r="M17" s="476">
        <f t="shared" ref="M17:M22" si="2">H17</f>
        <v>729591.46876123699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84">
        <v>5300000</v>
      </c>
      <c r="E18" s="585">
        <v>101923.07692307692</v>
      </c>
      <c r="F18" s="584">
        <v>5198076.923076923</v>
      </c>
      <c r="G18" s="585">
        <v>818590.55430690572</v>
      </c>
      <c r="H18" s="587">
        <v>818590.55430690572</v>
      </c>
      <c r="I18" s="475">
        <v>0</v>
      </c>
      <c r="J18" s="475"/>
      <c r="K18" s="476">
        <f t="shared" si="0"/>
        <v>818590.55430690572</v>
      </c>
      <c r="L18" s="603">
        <f t="shared" si="1"/>
        <v>0</v>
      </c>
      <c r="M18" s="476">
        <f t="shared" si="2"/>
        <v>818590.55430690572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2016</v>
      </c>
      <c r="D19" s="584">
        <v>4969414.923076923</v>
      </c>
      <c r="E19" s="585">
        <v>97525.730769230766</v>
      </c>
      <c r="F19" s="584">
        <v>4871889.192307692</v>
      </c>
      <c r="G19" s="585">
        <v>736520.73076923075</v>
      </c>
      <c r="H19" s="587">
        <v>736520.73076923075</v>
      </c>
      <c r="I19" s="475">
        <f>H19-G19</f>
        <v>0</v>
      </c>
      <c r="J19" s="475"/>
      <c r="K19" s="476">
        <f t="shared" si="0"/>
        <v>736520.73076923075</v>
      </c>
      <c r="L19" s="603">
        <f t="shared" si="1"/>
        <v>0</v>
      </c>
      <c r="M19" s="476">
        <f t="shared" si="2"/>
        <v>736520.73076923075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>IU</v>
      </c>
      <c r="C20" s="472">
        <f>IF(D11="","-",+C19+1)</f>
        <v>2017</v>
      </c>
      <c r="D20" s="584">
        <v>4859829.192307692</v>
      </c>
      <c r="E20" s="585">
        <v>109984.30434782608</v>
      </c>
      <c r="F20" s="584">
        <v>4749844.8879598659</v>
      </c>
      <c r="G20" s="585">
        <v>714452.30434782605</v>
      </c>
      <c r="H20" s="587">
        <v>714452.30434782605</v>
      </c>
      <c r="I20" s="475">
        <f t="shared" ref="I20:I72" si="4">H20-G20</f>
        <v>0</v>
      </c>
      <c r="J20" s="475"/>
      <c r="K20" s="476">
        <f t="shared" si="0"/>
        <v>714452.30434782605</v>
      </c>
      <c r="L20" s="603">
        <f t="shared" si="1"/>
        <v>0</v>
      </c>
      <c r="M20" s="476">
        <f t="shared" si="2"/>
        <v>714452.30434782605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/>
      </c>
      <c r="C21" s="472">
        <f>IF(D11="","-",+C20+1)</f>
        <v>2018</v>
      </c>
      <c r="D21" s="584">
        <v>4749844.8879598659</v>
      </c>
      <c r="E21" s="585">
        <v>112428.4</v>
      </c>
      <c r="F21" s="584">
        <v>4637416.4879598655</v>
      </c>
      <c r="G21" s="585">
        <v>674532.63926355843</v>
      </c>
      <c r="H21" s="587">
        <v>674532.63926355843</v>
      </c>
      <c r="I21" s="475">
        <f t="shared" si="4"/>
        <v>0</v>
      </c>
      <c r="J21" s="475"/>
      <c r="K21" s="476">
        <f t="shared" si="0"/>
        <v>674532.63926355843</v>
      </c>
      <c r="L21" s="603">
        <f t="shared" si="1"/>
        <v>0</v>
      </c>
      <c r="M21" s="476">
        <f t="shared" si="2"/>
        <v>674532.63926355843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84">
        <v>4637416.4879598655</v>
      </c>
      <c r="E22" s="585">
        <v>126481.95</v>
      </c>
      <c r="F22" s="584">
        <v>4510934.5379598653</v>
      </c>
      <c r="G22" s="585">
        <v>637218.97874084802</v>
      </c>
      <c r="H22" s="587">
        <v>637218.97874084802</v>
      </c>
      <c r="I22" s="475">
        <f t="shared" si="4"/>
        <v>0</v>
      </c>
      <c r="J22" s="475"/>
      <c r="K22" s="476">
        <f t="shared" si="0"/>
        <v>637218.97874084802</v>
      </c>
      <c r="L22" s="603">
        <f t="shared" si="1"/>
        <v>0</v>
      </c>
      <c r="M22" s="476">
        <f t="shared" si="2"/>
        <v>637218.97874084802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84">
        <v>4524988.0879598651</v>
      </c>
      <c r="E23" s="585">
        <v>120459</v>
      </c>
      <c r="F23" s="584">
        <v>4404529.0879598651</v>
      </c>
      <c r="G23" s="585">
        <v>602674.25524940272</v>
      </c>
      <c r="H23" s="587">
        <v>602674.25524940272</v>
      </c>
      <c r="I23" s="475">
        <f t="shared" si="4"/>
        <v>0</v>
      </c>
      <c r="J23" s="475"/>
      <c r="K23" s="476">
        <f t="shared" ref="K23" si="7">G23</f>
        <v>602674.25524940272</v>
      </c>
      <c r="L23" s="603">
        <f t="shared" ref="L23" si="8">IF(K23&lt;&gt;0,+G23-K23,0)</f>
        <v>0</v>
      </c>
      <c r="M23" s="476">
        <f t="shared" ref="M23" si="9">H23</f>
        <v>602674.25524940272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584">
        <v>4390475.5379598662</v>
      </c>
      <c r="E24" s="585">
        <v>117657.62790697675</v>
      </c>
      <c r="F24" s="584">
        <v>4272817.910052889</v>
      </c>
      <c r="G24" s="585">
        <v>578359.62790697673</v>
      </c>
      <c r="H24" s="587">
        <v>578359.62790697673</v>
      </c>
      <c r="I24" s="475">
        <f t="shared" si="4"/>
        <v>0</v>
      </c>
      <c r="J24" s="475"/>
      <c r="K24" s="476">
        <f t="shared" ref="K24" si="10">G24</f>
        <v>578359.62790697673</v>
      </c>
      <c r="L24" s="603">
        <f t="shared" ref="L24" si="11">IF(K24&lt;&gt;0,+G24-K24,0)</f>
        <v>0</v>
      </c>
      <c r="M24" s="476">
        <f t="shared" ref="M24" si="12">H24</f>
        <v>578359.62790697673</v>
      </c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584">
        <v>4272817.910052889</v>
      </c>
      <c r="E25" s="585">
        <v>120459</v>
      </c>
      <c r="F25" s="584">
        <v>4152358.910052889</v>
      </c>
      <c r="G25" s="585">
        <v>568130</v>
      </c>
      <c r="H25" s="587">
        <v>568130</v>
      </c>
      <c r="I25" s="475">
        <f t="shared" si="4"/>
        <v>0</v>
      </c>
      <c r="J25" s="475"/>
      <c r="K25" s="476">
        <f t="shared" ref="K25" si="13">G25</f>
        <v>568130</v>
      </c>
      <c r="L25" s="603">
        <f t="shared" ref="L25" si="14">IF(K25&lt;&gt;0,+G25-K25,0)</f>
        <v>0</v>
      </c>
      <c r="M25" s="476">
        <f t="shared" ref="M25" si="15">H25</f>
        <v>568130</v>
      </c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>IU</v>
      </c>
      <c r="C26" s="472">
        <f>IF(D11="","-",+C25+1)</f>
        <v>2023</v>
      </c>
      <c r="D26" s="485">
        <f>IF(F25+SUM(E$17:E25)=D$10,F25,D$10-SUM(E$17:E25))</f>
        <v>4152358.9500528886</v>
      </c>
      <c r="E26" s="484">
        <f t="shared" ref="E26:E72" si="16">IF(+$I$14&lt;F25,$I$14,D26)</f>
        <v>129725.07794871792</v>
      </c>
      <c r="F26" s="485">
        <f t="shared" ref="F26:F72" si="17">+D26-E26</f>
        <v>4022633.8721041707</v>
      </c>
      <c r="G26" s="486">
        <f t="shared" ref="G26:G72" si="18">ROUND(I$12*F26,0)+E26</f>
        <v>609862.07794871787</v>
      </c>
      <c r="H26" s="455">
        <f t="shared" ref="H26:H72" si="19">ROUND(I$13*F26,0)+E26</f>
        <v>609862.07794871787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4022633.8721041707</v>
      </c>
      <c r="E27" s="484">
        <f t="shared" si="16"/>
        <v>129725.07794871792</v>
      </c>
      <c r="F27" s="485">
        <f t="shared" si="17"/>
        <v>3892908.7941554529</v>
      </c>
      <c r="G27" s="486">
        <f t="shared" si="18"/>
        <v>594379.07794871787</v>
      </c>
      <c r="H27" s="455">
        <f t="shared" si="19"/>
        <v>594379.07794871787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3892908.7941554529</v>
      </c>
      <c r="E28" s="484">
        <f t="shared" si="16"/>
        <v>129725.07794871792</v>
      </c>
      <c r="F28" s="485">
        <f t="shared" si="17"/>
        <v>3763183.716206735</v>
      </c>
      <c r="G28" s="486">
        <f t="shared" si="18"/>
        <v>578895.07794871787</v>
      </c>
      <c r="H28" s="455">
        <f t="shared" si="19"/>
        <v>578895.07794871787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3763183.716206735</v>
      </c>
      <c r="E29" s="484">
        <f t="shared" si="16"/>
        <v>129725.07794871792</v>
      </c>
      <c r="F29" s="485">
        <f t="shared" si="17"/>
        <v>3633458.6382580171</v>
      </c>
      <c r="G29" s="486">
        <f t="shared" si="18"/>
        <v>563411.07794871787</v>
      </c>
      <c r="H29" s="455">
        <f t="shared" si="19"/>
        <v>563411.07794871787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3633458.6382580171</v>
      </c>
      <c r="E30" s="484">
        <f t="shared" si="16"/>
        <v>129725.07794871792</v>
      </c>
      <c r="F30" s="485">
        <f t="shared" si="17"/>
        <v>3503733.5603092993</v>
      </c>
      <c r="G30" s="486">
        <f t="shared" si="18"/>
        <v>547927.07794871787</v>
      </c>
      <c r="H30" s="455">
        <f t="shared" si="19"/>
        <v>547927.07794871787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3503733.5603092993</v>
      </c>
      <c r="E31" s="484">
        <f t="shared" si="16"/>
        <v>129725.07794871792</v>
      </c>
      <c r="F31" s="485">
        <f t="shared" si="17"/>
        <v>3374008.4823605814</v>
      </c>
      <c r="G31" s="486">
        <f t="shared" si="18"/>
        <v>532443.07794871787</v>
      </c>
      <c r="H31" s="455">
        <f t="shared" si="19"/>
        <v>532443.07794871787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3374008.4823605814</v>
      </c>
      <c r="E32" s="484">
        <f t="shared" si="16"/>
        <v>129725.07794871792</v>
      </c>
      <c r="F32" s="485">
        <f t="shared" si="17"/>
        <v>3244283.4044118635</v>
      </c>
      <c r="G32" s="486">
        <f t="shared" si="18"/>
        <v>516959.07794871792</v>
      </c>
      <c r="H32" s="455">
        <f t="shared" si="19"/>
        <v>516959.07794871792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3244283.4044118635</v>
      </c>
      <c r="E33" s="484">
        <f t="shared" si="16"/>
        <v>129725.07794871792</v>
      </c>
      <c r="F33" s="485">
        <f t="shared" si="17"/>
        <v>3114558.3264631457</v>
      </c>
      <c r="G33" s="486">
        <f t="shared" si="18"/>
        <v>501475.07794871792</v>
      </c>
      <c r="H33" s="455">
        <f t="shared" si="19"/>
        <v>501475.07794871792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3114558.3264631457</v>
      </c>
      <c r="E34" s="484">
        <f t="shared" si="16"/>
        <v>129725.07794871792</v>
      </c>
      <c r="F34" s="485">
        <f t="shared" si="17"/>
        <v>2984833.2485144278</v>
      </c>
      <c r="G34" s="486">
        <f t="shared" si="18"/>
        <v>485992.07794871792</v>
      </c>
      <c r="H34" s="455">
        <f t="shared" si="19"/>
        <v>485992.07794871792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2984833.2485144278</v>
      </c>
      <c r="E35" s="484">
        <f t="shared" si="16"/>
        <v>129725.07794871792</v>
      </c>
      <c r="F35" s="485">
        <f t="shared" si="17"/>
        <v>2855108.1705657099</v>
      </c>
      <c r="G35" s="486">
        <f t="shared" si="18"/>
        <v>470508.07794871792</v>
      </c>
      <c r="H35" s="455">
        <f t="shared" si="19"/>
        <v>470508.07794871792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2855108.1705657099</v>
      </c>
      <c r="E36" s="484">
        <f t="shared" si="16"/>
        <v>129725.07794871792</v>
      </c>
      <c r="F36" s="485">
        <f t="shared" si="17"/>
        <v>2725383.0926169921</v>
      </c>
      <c r="G36" s="486">
        <f t="shared" si="18"/>
        <v>455024.07794871792</v>
      </c>
      <c r="H36" s="455">
        <f t="shared" si="19"/>
        <v>455024.07794871792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2725383.0926169921</v>
      </c>
      <c r="E37" s="484">
        <f t="shared" si="16"/>
        <v>129725.07794871792</v>
      </c>
      <c r="F37" s="485">
        <f t="shared" si="17"/>
        <v>2595658.0146682742</v>
      </c>
      <c r="G37" s="486">
        <f t="shared" si="18"/>
        <v>439540.07794871792</v>
      </c>
      <c r="H37" s="455">
        <f t="shared" si="19"/>
        <v>439540.07794871792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2595658.0146682742</v>
      </c>
      <c r="E38" s="484">
        <f t="shared" si="16"/>
        <v>129725.07794871792</v>
      </c>
      <c r="F38" s="485">
        <f t="shared" si="17"/>
        <v>2465932.9367195563</v>
      </c>
      <c r="G38" s="486">
        <f t="shared" si="18"/>
        <v>424056.07794871792</v>
      </c>
      <c r="H38" s="455">
        <f t="shared" si="19"/>
        <v>424056.07794871792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2465932.9367195563</v>
      </c>
      <c r="E39" s="484">
        <f t="shared" si="16"/>
        <v>129725.07794871792</v>
      </c>
      <c r="F39" s="485">
        <f t="shared" si="17"/>
        <v>2336207.8587708385</v>
      </c>
      <c r="G39" s="486">
        <f t="shared" si="18"/>
        <v>408572.07794871792</v>
      </c>
      <c r="H39" s="455">
        <f t="shared" si="19"/>
        <v>408572.07794871792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2336207.8587708385</v>
      </c>
      <c r="E40" s="484">
        <f t="shared" si="16"/>
        <v>129725.07794871792</v>
      </c>
      <c r="F40" s="485">
        <f t="shared" si="17"/>
        <v>2206482.7808221206</v>
      </c>
      <c r="G40" s="486">
        <f t="shared" si="18"/>
        <v>393088.07794871792</v>
      </c>
      <c r="H40" s="455">
        <f t="shared" si="19"/>
        <v>393088.07794871792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2206482.7808221206</v>
      </c>
      <c r="E41" s="484">
        <f t="shared" si="16"/>
        <v>129725.07794871792</v>
      </c>
      <c r="F41" s="485">
        <f t="shared" si="17"/>
        <v>2076757.7028734027</v>
      </c>
      <c r="G41" s="486">
        <f t="shared" si="18"/>
        <v>377605.07794871792</v>
      </c>
      <c r="H41" s="455">
        <f t="shared" si="19"/>
        <v>377605.07794871792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2076757.7028734027</v>
      </c>
      <c r="E42" s="484">
        <f t="shared" si="16"/>
        <v>129725.07794871792</v>
      </c>
      <c r="F42" s="485">
        <f t="shared" si="17"/>
        <v>1947032.6249246849</v>
      </c>
      <c r="G42" s="486">
        <f t="shared" si="18"/>
        <v>362121.07794871792</v>
      </c>
      <c r="H42" s="455">
        <f t="shared" si="19"/>
        <v>362121.07794871792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1947032.6249246849</v>
      </c>
      <c r="E43" s="484">
        <f t="shared" si="16"/>
        <v>129725.07794871792</v>
      </c>
      <c r="F43" s="485">
        <f t="shared" si="17"/>
        <v>1817307.546975967</v>
      </c>
      <c r="G43" s="486">
        <f t="shared" si="18"/>
        <v>346637.07794871792</v>
      </c>
      <c r="H43" s="455">
        <f t="shared" si="19"/>
        <v>346637.07794871792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1817307.546975967</v>
      </c>
      <c r="E44" s="484">
        <f t="shared" si="16"/>
        <v>129725.07794871792</v>
      </c>
      <c r="F44" s="485">
        <f t="shared" si="17"/>
        <v>1687582.4690272491</v>
      </c>
      <c r="G44" s="486">
        <f t="shared" si="18"/>
        <v>331153.07794871792</v>
      </c>
      <c r="H44" s="455">
        <f t="shared" si="19"/>
        <v>331153.07794871792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1687582.4690272491</v>
      </c>
      <c r="E45" s="484">
        <f t="shared" si="16"/>
        <v>129725.07794871792</v>
      </c>
      <c r="F45" s="485">
        <f t="shared" si="17"/>
        <v>1557857.3910785313</v>
      </c>
      <c r="G45" s="486">
        <f t="shared" si="18"/>
        <v>315669.07794871792</v>
      </c>
      <c r="H45" s="455">
        <f t="shared" si="19"/>
        <v>315669.07794871792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1557857.3910785313</v>
      </c>
      <c r="E46" s="484">
        <f t="shared" si="16"/>
        <v>129725.07794871792</v>
      </c>
      <c r="F46" s="485">
        <f t="shared" si="17"/>
        <v>1428132.3131298134</v>
      </c>
      <c r="G46" s="486">
        <f t="shared" si="18"/>
        <v>300185.07794871792</v>
      </c>
      <c r="H46" s="455">
        <f t="shared" si="19"/>
        <v>300185.07794871792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1428132.3131298134</v>
      </c>
      <c r="E47" s="484">
        <f t="shared" si="16"/>
        <v>129725.07794871792</v>
      </c>
      <c r="F47" s="485">
        <f t="shared" si="17"/>
        <v>1298407.2351810955</v>
      </c>
      <c r="G47" s="486">
        <f t="shared" si="18"/>
        <v>284702.07794871792</v>
      </c>
      <c r="H47" s="455">
        <f t="shared" si="19"/>
        <v>284702.07794871792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1298407.2351810955</v>
      </c>
      <c r="E48" s="484">
        <f t="shared" si="16"/>
        <v>129725.07794871792</v>
      </c>
      <c r="F48" s="485">
        <f t="shared" si="17"/>
        <v>1168682.1572323777</v>
      </c>
      <c r="G48" s="486">
        <f t="shared" si="18"/>
        <v>269218.07794871792</v>
      </c>
      <c r="H48" s="455">
        <f t="shared" si="19"/>
        <v>269218.07794871792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1168682.1572323777</v>
      </c>
      <c r="E49" s="484">
        <f t="shared" si="16"/>
        <v>129725.07794871792</v>
      </c>
      <c r="F49" s="485">
        <f t="shared" si="17"/>
        <v>1038957.0792836598</v>
      </c>
      <c r="G49" s="486">
        <f t="shared" si="18"/>
        <v>253734.07794871792</v>
      </c>
      <c r="H49" s="455">
        <f t="shared" si="19"/>
        <v>253734.07794871792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1038957.0792836598</v>
      </c>
      <c r="E50" s="484">
        <f t="shared" si="16"/>
        <v>129725.07794871792</v>
      </c>
      <c r="F50" s="485">
        <f t="shared" si="17"/>
        <v>909232.00133494195</v>
      </c>
      <c r="G50" s="486">
        <f t="shared" si="18"/>
        <v>238250.07794871792</v>
      </c>
      <c r="H50" s="455">
        <f t="shared" si="19"/>
        <v>238250.07794871792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909232.00133494195</v>
      </c>
      <c r="E51" s="484">
        <f t="shared" si="16"/>
        <v>129725.07794871792</v>
      </c>
      <c r="F51" s="485">
        <f t="shared" si="17"/>
        <v>779506.92338622408</v>
      </c>
      <c r="G51" s="486">
        <f t="shared" si="18"/>
        <v>222766.07794871792</v>
      </c>
      <c r="H51" s="455">
        <f t="shared" si="19"/>
        <v>222766.07794871792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779506.92338622408</v>
      </c>
      <c r="E52" s="484">
        <f t="shared" si="16"/>
        <v>129725.07794871792</v>
      </c>
      <c r="F52" s="485">
        <f t="shared" si="17"/>
        <v>649781.84543750621</v>
      </c>
      <c r="G52" s="486">
        <f t="shared" si="18"/>
        <v>207282.07794871792</v>
      </c>
      <c r="H52" s="455">
        <f t="shared" si="19"/>
        <v>207282.07794871792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649781.84543750621</v>
      </c>
      <c r="E53" s="484">
        <f t="shared" si="16"/>
        <v>129725.07794871792</v>
      </c>
      <c r="F53" s="485">
        <f t="shared" si="17"/>
        <v>520056.76748878829</v>
      </c>
      <c r="G53" s="486">
        <f t="shared" si="18"/>
        <v>191798.07794871792</v>
      </c>
      <c r="H53" s="455">
        <f t="shared" si="19"/>
        <v>191798.07794871792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520056.76748878829</v>
      </c>
      <c r="E54" s="484">
        <f t="shared" si="16"/>
        <v>129725.07794871792</v>
      </c>
      <c r="F54" s="485">
        <f t="shared" si="17"/>
        <v>390331.68954007037</v>
      </c>
      <c r="G54" s="486">
        <f t="shared" si="18"/>
        <v>176315.07794871792</v>
      </c>
      <c r="H54" s="455">
        <f t="shared" si="19"/>
        <v>176315.07794871792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390331.68954007037</v>
      </c>
      <c r="E55" s="484">
        <f t="shared" si="16"/>
        <v>129725.07794871792</v>
      </c>
      <c r="F55" s="485">
        <f t="shared" si="17"/>
        <v>260606.61159135244</v>
      </c>
      <c r="G55" s="486">
        <f t="shared" si="18"/>
        <v>160831.07794871792</v>
      </c>
      <c r="H55" s="455">
        <f t="shared" si="19"/>
        <v>160831.07794871792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260606.61159135244</v>
      </c>
      <c r="E56" s="484">
        <f t="shared" si="16"/>
        <v>129725.07794871792</v>
      </c>
      <c r="F56" s="485">
        <f t="shared" si="17"/>
        <v>130881.53364263452</v>
      </c>
      <c r="G56" s="486">
        <f t="shared" si="18"/>
        <v>145347.07794871792</v>
      </c>
      <c r="H56" s="455">
        <f t="shared" si="19"/>
        <v>145347.07794871792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130881.53364263452</v>
      </c>
      <c r="E57" s="484">
        <f t="shared" si="16"/>
        <v>129725.07794871792</v>
      </c>
      <c r="F57" s="485">
        <f t="shared" si="17"/>
        <v>1156.4556939165923</v>
      </c>
      <c r="G57" s="486">
        <f t="shared" si="18"/>
        <v>129863.07794871792</v>
      </c>
      <c r="H57" s="455">
        <f t="shared" si="19"/>
        <v>129863.07794871792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1156.4556939165923</v>
      </c>
      <c r="E58" s="484">
        <f t="shared" si="16"/>
        <v>1156.4556939165923</v>
      </c>
      <c r="F58" s="485">
        <f t="shared" si="17"/>
        <v>0</v>
      </c>
      <c r="G58" s="486">
        <f t="shared" si="18"/>
        <v>1156.4556939165923</v>
      </c>
      <c r="H58" s="455">
        <f t="shared" si="19"/>
        <v>1156.4556939165923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0</v>
      </c>
      <c r="E59" s="484">
        <f t="shared" si="16"/>
        <v>0</v>
      </c>
      <c r="F59" s="485">
        <f t="shared" si="17"/>
        <v>0</v>
      </c>
      <c r="G59" s="486">
        <f t="shared" si="18"/>
        <v>0</v>
      </c>
      <c r="H59" s="455">
        <f t="shared" si="19"/>
        <v>0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6"/>
        <v>0</v>
      </c>
      <c r="F60" s="485">
        <f t="shared" si="17"/>
        <v>0</v>
      </c>
      <c r="G60" s="486">
        <f t="shared" si="18"/>
        <v>0</v>
      </c>
      <c r="H60" s="455">
        <f t="shared" si="19"/>
        <v>0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6"/>
        <v>0</v>
      </c>
      <c r="F72" s="485">
        <f t="shared" si="17"/>
        <v>0</v>
      </c>
      <c r="G72" s="486">
        <f t="shared" si="18"/>
        <v>0</v>
      </c>
      <c r="H72" s="455">
        <f t="shared" si="19"/>
        <v>0</v>
      </c>
      <c r="I72" s="475">
        <f t="shared" si="4"/>
        <v>0</v>
      </c>
      <c r="J72" s="475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5059278.0400000019</v>
      </c>
      <c r="F73" s="347"/>
      <c r="G73" s="347">
        <f>SUM(G17:G72)</f>
        <v>17896836.50939887</v>
      </c>
      <c r="H73" s="347">
        <f>SUM(H17:H72)</f>
        <v>17896836.50939887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16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578359.62790697673</v>
      </c>
      <c r="N87" s="508">
        <f>IF(J92&lt;D11,0,VLOOKUP(J92,C17:O72,11))</f>
        <v>578359.62790697673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615138.04650435934</v>
      </c>
      <c r="N88" s="512">
        <f>IF(J92&lt;D11,0,VLOOKUP(J92,C99:P154,7))</f>
        <v>615138.04650435934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Cornville Station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36778.41859738261</v>
      </c>
      <c r="N89" s="517">
        <f>+N88-N87</f>
        <v>36778.41859738261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TP2011093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5059278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123397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2014</v>
      </c>
      <c r="D99" s="584">
        <v>0</v>
      </c>
      <c r="E99" s="585">
        <v>0</v>
      </c>
      <c r="F99" s="586">
        <v>4992922.66</v>
      </c>
      <c r="G99" s="605">
        <v>2496461.33</v>
      </c>
      <c r="H99" s="606">
        <v>350992.25806989282</v>
      </c>
      <c r="I99" s="607">
        <v>350992.25806989282</v>
      </c>
      <c r="J99" s="478">
        <v>0</v>
      </c>
      <c r="K99" s="478"/>
      <c r="L99" s="476">
        <f t="shared" ref="L99:L105" si="21">H99</f>
        <v>350992.25806989282</v>
      </c>
      <c r="M99" s="348">
        <f t="shared" ref="M99:M105" si="22">IF(L99&lt;&gt;0,+H99-L99,0)</f>
        <v>0</v>
      </c>
      <c r="N99" s="476">
        <f t="shared" ref="N99:N105" si="23">I99</f>
        <v>350992.25806989282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>IU</v>
      </c>
      <c r="C100" s="472">
        <f>IF(D93="","-",+C99+1)</f>
        <v>2015</v>
      </c>
      <c r="D100" s="584">
        <v>5071338</v>
      </c>
      <c r="E100" s="585">
        <v>97526</v>
      </c>
      <c r="F100" s="586">
        <v>4973812</v>
      </c>
      <c r="G100" s="586">
        <v>5022575</v>
      </c>
      <c r="H100" s="606">
        <v>782815.97525692882</v>
      </c>
      <c r="I100" s="607">
        <v>782815.97525692882</v>
      </c>
      <c r="J100" s="478">
        <f>+I100-H100</f>
        <v>0</v>
      </c>
      <c r="K100" s="478"/>
      <c r="L100" s="476">
        <f t="shared" si="21"/>
        <v>782815.97525692882</v>
      </c>
      <c r="M100" s="348">
        <f t="shared" si="22"/>
        <v>0</v>
      </c>
      <c r="N100" s="476">
        <f t="shared" si="23"/>
        <v>782815.97525692882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24">IF(D101=F100,"","IU")</f>
        <v>IU</v>
      </c>
      <c r="C101" s="472">
        <f>IF(D93="","-",+C100+1)</f>
        <v>2016</v>
      </c>
      <c r="D101" s="584">
        <v>4961752</v>
      </c>
      <c r="E101" s="585">
        <v>109984</v>
      </c>
      <c r="F101" s="586">
        <v>4851768</v>
      </c>
      <c r="G101" s="586">
        <v>4906760</v>
      </c>
      <c r="H101" s="606">
        <v>742542.63994670648</v>
      </c>
      <c r="I101" s="607">
        <v>742542.63994670648</v>
      </c>
      <c r="J101" s="478">
        <f t="shared" ref="J101:J154" si="25">+I101-H101</f>
        <v>0</v>
      </c>
      <c r="K101" s="478"/>
      <c r="L101" s="476">
        <f t="shared" si="21"/>
        <v>742542.63994670648</v>
      </c>
      <c r="M101" s="348">
        <f t="shared" si="22"/>
        <v>0</v>
      </c>
      <c r="N101" s="476">
        <f t="shared" si="23"/>
        <v>742542.63994670648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24"/>
        <v/>
      </c>
      <c r="C102" s="472">
        <f>IF(D93="","-",+C101+1)</f>
        <v>2017</v>
      </c>
      <c r="D102" s="584">
        <v>4851768</v>
      </c>
      <c r="E102" s="585">
        <v>109984</v>
      </c>
      <c r="F102" s="586">
        <v>4741784</v>
      </c>
      <c r="G102" s="586">
        <v>4796776</v>
      </c>
      <c r="H102" s="606">
        <v>718467.13067498105</v>
      </c>
      <c r="I102" s="607">
        <v>718467.13067498105</v>
      </c>
      <c r="J102" s="478">
        <f t="shared" si="25"/>
        <v>0</v>
      </c>
      <c r="K102" s="478"/>
      <c r="L102" s="476">
        <f t="shared" si="21"/>
        <v>718467.13067498105</v>
      </c>
      <c r="M102" s="348">
        <f t="shared" si="22"/>
        <v>0</v>
      </c>
      <c r="N102" s="476">
        <f t="shared" si="23"/>
        <v>718467.13067498105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24"/>
        <v/>
      </c>
      <c r="C103" s="472">
        <f>IF(D93="","-",+C102+1)</f>
        <v>2018</v>
      </c>
      <c r="D103" s="584">
        <v>4741784</v>
      </c>
      <c r="E103" s="585">
        <v>117658</v>
      </c>
      <c r="F103" s="586">
        <v>4624126</v>
      </c>
      <c r="G103" s="586">
        <v>4682955</v>
      </c>
      <c r="H103" s="606">
        <v>598764.03634994966</v>
      </c>
      <c r="I103" s="607">
        <v>598764.03634994966</v>
      </c>
      <c r="J103" s="478">
        <f t="shared" si="25"/>
        <v>0</v>
      </c>
      <c r="K103" s="478"/>
      <c r="L103" s="476">
        <f t="shared" si="21"/>
        <v>598764.03634994966</v>
      </c>
      <c r="M103" s="348">
        <f t="shared" si="22"/>
        <v>0</v>
      </c>
      <c r="N103" s="476">
        <f t="shared" si="23"/>
        <v>598764.03634994966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24"/>
        <v/>
      </c>
      <c r="C104" s="472">
        <f>IF(D93="","-",+C103+1)</f>
        <v>2019</v>
      </c>
      <c r="D104" s="584">
        <v>4624126</v>
      </c>
      <c r="E104" s="585">
        <v>123397</v>
      </c>
      <c r="F104" s="586">
        <v>4500729</v>
      </c>
      <c r="G104" s="586">
        <v>4562427.5</v>
      </c>
      <c r="H104" s="606">
        <v>593847.268225985</v>
      </c>
      <c r="I104" s="607">
        <v>593847.268225985</v>
      </c>
      <c r="J104" s="478">
        <f t="shared" si="25"/>
        <v>0</v>
      </c>
      <c r="K104" s="478"/>
      <c r="L104" s="476">
        <f t="shared" si="21"/>
        <v>593847.268225985</v>
      </c>
      <c r="M104" s="348">
        <f t="shared" si="22"/>
        <v>0</v>
      </c>
      <c r="N104" s="476">
        <f t="shared" si="23"/>
        <v>593847.268225985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 ht="12.5">
      <c r="B105" s="160" t="str">
        <f t="shared" si="24"/>
        <v/>
      </c>
      <c r="C105" s="472">
        <f>IF(D93="","-",+C104+1)</f>
        <v>2020</v>
      </c>
      <c r="D105" s="584">
        <v>4500729</v>
      </c>
      <c r="E105" s="585">
        <v>117658</v>
      </c>
      <c r="F105" s="586">
        <v>4383071</v>
      </c>
      <c r="G105" s="586">
        <v>4441900</v>
      </c>
      <c r="H105" s="606">
        <v>629796.85800289037</v>
      </c>
      <c r="I105" s="607">
        <v>629796.85800289037</v>
      </c>
      <c r="J105" s="478">
        <f t="shared" si="25"/>
        <v>0</v>
      </c>
      <c r="K105" s="478"/>
      <c r="L105" s="476">
        <f t="shared" si="21"/>
        <v>629796.85800289037</v>
      </c>
      <c r="M105" s="348">
        <f t="shared" si="22"/>
        <v>0</v>
      </c>
      <c r="N105" s="476">
        <f t="shared" si="23"/>
        <v>629796.85800289037</v>
      </c>
      <c r="O105" s="478">
        <f t="shared" si="26"/>
        <v>0</v>
      </c>
      <c r="P105" s="478">
        <f t="shared" si="27"/>
        <v>0</v>
      </c>
    </row>
    <row r="106" spans="1:16" ht="12.5">
      <c r="B106" s="160" t="str">
        <f t="shared" si="24"/>
        <v/>
      </c>
      <c r="C106" s="472">
        <f>IF(D93="","-",+C105+1)</f>
        <v>2021</v>
      </c>
      <c r="D106" s="346">
        <f>IF(F105+SUM(E$99:E105)=D$92,F105,D$92-SUM(E$99:E105))</f>
        <v>4383071</v>
      </c>
      <c r="E106" s="484">
        <f t="shared" ref="E106:E154" si="28">IF(+J$96&lt;F105,J$96,D106)</f>
        <v>123397</v>
      </c>
      <c r="F106" s="485">
        <f t="shared" ref="F106:F154" si="29">+D106-E106</f>
        <v>4259674</v>
      </c>
      <c r="G106" s="485">
        <f t="shared" ref="G106:G154" si="30">+(F106+D106)/2</f>
        <v>4321372.5</v>
      </c>
      <c r="H106" s="488">
        <f t="shared" ref="H106:H154" si="31">+J$94*G106+E106</f>
        <v>615138.04650435934</v>
      </c>
      <c r="I106" s="542">
        <f t="shared" ref="I106:I154" si="32">+J$95*G106+E106</f>
        <v>615138.04650435934</v>
      </c>
      <c r="J106" s="478">
        <f t="shared" si="25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6"/>
        <v>0</v>
      </c>
      <c r="P106" s="478">
        <f t="shared" si="27"/>
        <v>0</v>
      </c>
    </row>
    <row r="107" spans="1:16" ht="12.5">
      <c r="B107" s="160" t="str">
        <f t="shared" si="24"/>
        <v/>
      </c>
      <c r="C107" s="472">
        <f>IF(D93="","-",+C106+1)</f>
        <v>2022</v>
      </c>
      <c r="D107" s="346">
        <f>IF(F106+SUM(E$99:E106)=D$92,F106,D$92-SUM(E$99:E106))</f>
        <v>4259674</v>
      </c>
      <c r="E107" s="484">
        <f t="shared" si="28"/>
        <v>123397</v>
      </c>
      <c r="F107" s="485">
        <f t="shared" si="29"/>
        <v>4136277</v>
      </c>
      <c r="G107" s="485">
        <f t="shared" si="30"/>
        <v>4197975.5</v>
      </c>
      <c r="H107" s="488">
        <f t="shared" si="31"/>
        <v>601096.35722265579</v>
      </c>
      <c r="I107" s="542">
        <f t="shared" si="32"/>
        <v>601096.35722265579</v>
      </c>
      <c r="J107" s="478">
        <f t="shared" si="25"/>
        <v>0</v>
      </c>
      <c r="K107" s="478"/>
      <c r="L107" s="487"/>
      <c r="M107" s="478">
        <f t="shared" si="33"/>
        <v>0</v>
      </c>
      <c r="N107" s="487"/>
      <c r="O107" s="478">
        <f t="shared" si="26"/>
        <v>0</v>
      </c>
      <c r="P107" s="478">
        <f t="shared" si="27"/>
        <v>0</v>
      </c>
    </row>
    <row r="108" spans="1:16" ht="12.5">
      <c r="B108" s="160" t="str">
        <f t="shared" si="24"/>
        <v/>
      </c>
      <c r="C108" s="472">
        <f>IF(D93="","-",+C107+1)</f>
        <v>2023</v>
      </c>
      <c r="D108" s="346">
        <f>IF(F107+SUM(E$99:E107)=D$92,F107,D$92-SUM(E$99:E107))</f>
        <v>4136277</v>
      </c>
      <c r="E108" s="484">
        <f t="shared" si="28"/>
        <v>123397</v>
      </c>
      <c r="F108" s="485">
        <f t="shared" si="29"/>
        <v>4012880</v>
      </c>
      <c r="G108" s="485">
        <f t="shared" si="30"/>
        <v>4074578.5</v>
      </c>
      <c r="H108" s="488">
        <f t="shared" si="31"/>
        <v>587054.66794095223</v>
      </c>
      <c r="I108" s="542">
        <f t="shared" si="32"/>
        <v>587054.66794095223</v>
      </c>
      <c r="J108" s="478">
        <f t="shared" si="25"/>
        <v>0</v>
      </c>
      <c r="K108" s="478"/>
      <c r="L108" s="487"/>
      <c r="M108" s="478">
        <f t="shared" si="33"/>
        <v>0</v>
      </c>
      <c r="N108" s="487"/>
      <c r="O108" s="478">
        <f t="shared" si="26"/>
        <v>0</v>
      </c>
      <c r="P108" s="478">
        <f t="shared" si="27"/>
        <v>0</v>
      </c>
    </row>
    <row r="109" spans="1:16" ht="12.5">
      <c r="B109" s="160" t="str">
        <f t="shared" si="24"/>
        <v/>
      </c>
      <c r="C109" s="472">
        <f>IF(D93="","-",+C108+1)</f>
        <v>2024</v>
      </c>
      <c r="D109" s="346">
        <f>IF(F108+SUM(E$99:E108)=D$92,F108,D$92-SUM(E$99:E108))</f>
        <v>4012880</v>
      </c>
      <c r="E109" s="484">
        <f t="shared" si="28"/>
        <v>123397</v>
      </c>
      <c r="F109" s="485">
        <f t="shared" si="29"/>
        <v>3889483</v>
      </c>
      <c r="G109" s="485">
        <f t="shared" si="30"/>
        <v>3951181.5</v>
      </c>
      <c r="H109" s="488">
        <f t="shared" si="31"/>
        <v>573012.97865924868</v>
      </c>
      <c r="I109" s="542">
        <f t="shared" si="32"/>
        <v>573012.97865924868</v>
      </c>
      <c r="J109" s="478">
        <f t="shared" si="25"/>
        <v>0</v>
      </c>
      <c r="K109" s="478"/>
      <c r="L109" s="487"/>
      <c r="M109" s="478">
        <f t="shared" si="33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4"/>
        <v/>
      </c>
      <c r="C110" s="472">
        <f>IF(D93="","-",+C109+1)</f>
        <v>2025</v>
      </c>
      <c r="D110" s="346">
        <f>IF(F109+SUM(E$99:E109)=D$92,F109,D$92-SUM(E$99:E109))</f>
        <v>3889483</v>
      </c>
      <c r="E110" s="484">
        <f t="shared" si="28"/>
        <v>123397</v>
      </c>
      <c r="F110" s="485">
        <f t="shared" si="29"/>
        <v>3766086</v>
      </c>
      <c r="G110" s="485">
        <f t="shared" si="30"/>
        <v>3827784.5</v>
      </c>
      <c r="H110" s="488">
        <f t="shared" si="31"/>
        <v>558971.28937754524</v>
      </c>
      <c r="I110" s="542">
        <f t="shared" si="32"/>
        <v>558971.28937754524</v>
      </c>
      <c r="J110" s="478">
        <f t="shared" si="25"/>
        <v>0</v>
      </c>
      <c r="K110" s="478"/>
      <c r="L110" s="487"/>
      <c r="M110" s="478">
        <f t="shared" si="33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4"/>
        <v/>
      </c>
      <c r="C111" s="472">
        <f>IF(D93="","-",+C110+1)</f>
        <v>2026</v>
      </c>
      <c r="D111" s="346">
        <f>IF(F110+SUM(E$99:E110)=D$92,F110,D$92-SUM(E$99:E110))</f>
        <v>3766086</v>
      </c>
      <c r="E111" s="484">
        <f t="shared" si="28"/>
        <v>123397</v>
      </c>
      <c r="F111" s="485">
        <f t="shared" si="29"/>
        <v>3642689</v>
      </c>
      <c r="G111" s="485">
        <f t="shared" si="30"/>
        <v>3704387.5</v>
      </c>
      <c r="H111" s="488">
        <f t="shared" si="31"/>
        <v>544929.60009584157</v>
      </c>
      <c r="I111" s="542">
        <f t="shared" si="32"/>
        <v>544929.60009584157</v>
      </c>
      <c r="J111" s="478">
        <f t="shared" si="25"/>
        <v>0</v>
      </c>
      <c r="K111" s="478"/>
      <c r="L111" s="487"/>
      <c r="M111" s="478">
        <f t="shared" si="33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4"/>
        <v/>
      </c>
      <c r="C112" s="472">
        <f>IF(D93="","-",+C111+1)</f>
        <v>2027</v>
      </c>
      <c r="D112" s="346">
        <f>IF(F111+SUM(E$99:E111)=D$92,F111,D$92-SUM(E$99:E111))</f>
        <v>3642689</v>
      </c>
      <c r="E112" s="484">
        <f t="shared" si="28"/>
        <v>123397</v>
      </c>
      <c r="F112" s="485">
        <f t="shared" si="29"/>
        <v>3519292</v>
      </c>
      <c r="G112" s="485">
        <f t="shared" si="30"/>
        <v>3580990.5</v>
      </c>
      <c r="H112" s="488">
        <f t="shared" si="31"/>
        <v>530887.91081413813</v>
      </c>
      <c r="I112" s="542">
        <f t="shared" si="32"/>
        <v>530887.91081413813</v>
      </c>
      <c r="J112" s="478">
        <f t="shared" si="25"/>
        <v>0</v>
      </c>
      <c r="K112" s="478"/>
      <c r="L112" s="487"/>
      <c r="M112" s="478">
        <f t="shared" si="33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4"/>
        <v/>
      </c>
      <c r="C113" s="472">
        <f>IF(D93="","-",+C112+1)</f>
        <v>2028</v>
      </c>
      <c r="D113" s="346">
        <f>IF(F112+SUM(E$99:E112)=D$92,F112,D$92-SUM(E$99:E112))</f>
        <v>3519292</v>
      </c>
      <c r="E113" s="484">
        <f t="shared" si="28"/>
        <v>123397</v>
      </c>
      <c r="F113" s="485">
        <f t="shared" si="29"/>
        <v>3395895</v>
      </c>
      <c r="G113" s="485">
        <f t="shared" si="30"/>
        <v>3457593.5</v>
      </c>
      <c r="H113" s="488">
        <f t="shared" si="31"/>
        <v>516846.22153243457</v>
      </c>
      <c r="I113" s="542">
        <f t="shared" si="32"/>
        <v>516846.22153243457</v>
      </c>
      <c r="J113" s="478">
        <f t="shared" si="25"/>
        <v>0</v>
      </c>
      <c r="K113" s="478"/>
      <c r="L113" s="487"/>
      <c r="M113" s="478">
        <f t="shared" si="33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4"/>
        <v/>
      </c>
      <c r="C114" s="472">
        <f>IF(D93="","-",+C113+1)</f>
        <v>2029</v>
      </c>
      <c r="D114" s="346">
        <f>IF(F113+SUM(E$99:E113)=D$92,F113,D$92-SUM(E$99:E113))</f>
        <v>3395895</v>
      </c>
      <c r="E114" s="484">
        <f t="shared" si="28"/>
        <v>123397</v>
      </c>
      <c r="F114" s="485">
        <f t="shared" si="29"/>
        <v>3272498</v>
      </c>
      <c r="G114" s="485">
        <f t="shared" si="30"/>
        <v>3334196.5</v>
      </c>
      <c r="H114" s="488">
        <f t="shared" si="31"/>
        <v>502804.53225073102</v>
      </c>
      <c r="I114" s="542">
        <f t="shared" si="32"/>
        <v>502804.53225073102</v>
      </c>
      <c r="J114" s="478">
        <f t="shared" si="25"/>
        <v>0</v>
      </c>
      <c r="K114" s="478"/>
      <c r="L114" s="487"/>
      <c r="M114" s="478">
        <f t="shared" si="33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4"/>
        <v/>
      </c>
      <c r="C115" s="472">
        <f>IF(D93="","-",+C114+1)</f>
        <v>2030</v>
      </c>
      <c r="D115" s="346">
        <f>IF(F114+SUM(E$99:E114)=D$92,F114,D$92-SUM(E$99:E114))</f>
        <v>3272498</v>
      </c>
      <c r="E115" s="484">
        <f t="shared" si="28"/>
        <v>123397</v>
      </c>
      <c r="F115" s="485">
        <f t="shared" si="29"/>
        <v>3149101</v>
      </c>
      <c r="G115" s="485">
        <f t="shared" si="30"/>
        <v>3210799.5</v>
      </c>
      <c r="H115" s="488">
        <f t="shared" si="31"/>
        <v>488762.84296902746</v>
      </c>
      <c r="I115" s="542">
        <f t="shared" si="32"/>
        <v>488762.84296902746</v>
      </c>
      <c r="J115" s="478">
        <f t="shared" si="25"/>
        <v>0</v>
      </c>
      <c r="K115" s="478"/>
      <c r="L115" s="487"/>
      <c r="M115" s="478">
        <f t="shared" si="33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4"/>
        <v/>
      </c>
      <c r="C116" s="472">
        <f>IF(D93="","-",+C115+1)</f>
        <v>2031</v>
      </c>
      <c r="D116" s="346">
        <f>IF(F115+SUM(E$99:E115)=D$92,F115,D$92-SUM(E$99:E115))</f>
        <v>3149101</v>
      </c>
      <c r="E116" s="484">
        <f t="shared" si="28"/>
        <v>123397</v>
      </c>
      <c r="F116" s="485">
        <f t="shared" si="29"/>
        <v>3025704</v>
      </c>
      <c r="G116" s="485">
        <f t="shared" si="30"/>
        <v>3087402.5</v>
      </c>
      <c r="H116" s="488">
        <f t="shared" si="31"/>
        <v>474721.15368732391</v>
      </c>
      <c r="I116" s="542">
        <f t="shared" si="32"/>
        <v>474721.15368732391</v>
      </c>
      <c r="J116" s="478">
        <f t="shared" si="25"/>
        <v>0</v>
      </c>
      <c r="K116" s="478"/>
      <c r="L116" s="487"/>
      <c r="M116" s="478">
        <f t="shared" si="33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4"/>
        <v/>
      </c>
      <c r="C117" s="472">
        <f>IF(D93="","-",+C116+1)</f>
        <v>2032</v>
      </c>
      <c r="D117" s="346">
        <f>IF(F116+SUM(E$99:E116)=D$92,F116,D$92-SUM(E$99:E116))</f>
        <v>3025704</v>
      </c>
      <c r="E117" s="484">
        <f t="shared" si="28"/>
        <v>123397</v>
      </c>
      <c r="F117" s="485">
        <f t="shared" si="29"/>
        <v>2902307</v>
      </c>
      <c r="G117" s="485">
        <f t="shared" si="30"/>
        <v>2964005.5</v>
      </c>
      <c r="H117" s="488">
        <f t="shared" si="31"/>
        <v>460679.46440562041</v>
      </c>
      <c r="I117" s="542">
        <f t="shared" si="32"/>
        <v>460679.46440562041</v>
      </c>
      <c r="J117" s="478">
        <f t="shared" si="25"/>
        <v>0</v>
      </c>
      <c r="K117" s="478"/>
      <c r="L117" s="487"/>
      <c r="M117" s="478">
        <f t="shared" si="33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4"/>
        <v/>
      </c>
      <c r="C118" s="472">
        <f>IF(D93="","-",+C117+1)</f>
        <v>2033</v>
      </c>
      <c r="D118" s="346">
        <f>IF(F117+SUM(E$99:E117)=D$92,F117,D$92-SUM(E$99:E117))</f>
        <v>2902307</v>
      </c>
      <c r="E118" s="484">
        <f t="shared" si="28"/>
        <v>123397</v>
      </c>
      <c r="F118" s="485">
        <f t="shared" si="29"/>
        <v>2778910</v>
      </c>
      <c r="G118" s="485">
        <f t="shared" si="30"/>
        <v>2840608.5</v>
      </c>
      <c r="H118" s="488">
        <f t="shared" si="31"/>
        <v>446637.77512391686</v>
      </c>
      <c r="I118" s="542">
        <f t="shared" si="32"/>
        <v>446637.77512391686</v>
      </c>
      <c r="J118" s="478">
        <f t="shared" si="25"/>
        <v>0</v>
      </c>
      <c r="K118" s="478"/>
      <c r="L118" s="487"/>
      <c r="M118" s="478">
        <f t="shared" si="33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4"/>
        <v/>
      </c>
      <c r="C119" s="472">
        <f>IF(D93="","-",+C118+1)</f>
        <v>2034</v>
      </c>
      <c r="D119" s="346">
        <f>IF(F118+SUM(E$99:E118)=D$92,F118,D$92-SUM(E$99:E118))</f>
        <v>2778910</v>
      </c>
      <c r="E119" s="484">
        <f t="shared" si="28"/>
        <v>123397</v>
      </c>
      <c r="F119" s="485">
        <f t="shared" si="29"/>
        <v>2655513</v>
      </c>
      <c r="G119" s="485">
        <f t="shared" si="30"/>
        <v>2717211.5</v>
      </c>
      <c r="H119" s="488">
        <f t="shared" si="31"/>
        <v>432596.0858422133</v>
      </c>
      <c r="I119" s="542">
        <f t="shared" si="32"/>
        <v>432596.0858422133</v>
      </c>
      <c r="J119" s="478">
        <f t="shared" si="25"/>
        <v>0</v>
      </c>
      <c r="K119" s="478"/>
      <c r="L119" s="487"/>
      <c r="M119" s="478">
        <f t="shared" si="33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4"/>
        <v/>
      </c>
      <c r="C120" s="472">
        <f>IF(D93="","-",+C119+1)</f>
        <v>2035</v>
      </c>
      <c r="D120" s="346">
        <f>IF(F119+SUM(E$99:E119)=D$92,F119,D$92-SUM(E$99:E119))</f>
        <v>2655513</v>
      </c>
      <c r="E120" s="484">
        <f t="shared" si="28"/>
        <v>123397</v>
      </c>
      <c r="F120" s="485">
        <f t="shared" si="29"/>
        <v>2532116</v>
      </c>
      <c r="G120" s="485">
        <f t="shared" si="30"/>
        <v>2593814.5</v>
      </c>
      <c r="H120" s="488">
        <f t="shared" si="31"/>
        <v>418554.39656050981</v>
      </c>
      <c r="I120" s="542">
        <f t="shared" si="32"/>
        <v>418554.39656050981</v>
      </c>
      <c r="J120" s="478">
        <f t="shared" si="25"/>
        <v>0</v>
      </c>
      <c r="K120" s="478"/>
      <c r="L120" s="487"/>
      <c r="M120" s="478">
        <f t="shared" si="33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4"/>
        <v/>
      </c>
      <c r="C121" s="472">
        <f>IF(D93="","-",+C120+1)</f>
        <v>2036</v>
      </c>
      <c r="D121" s="346">
        <f>IF(F120+SUM(E$99:E120)=D$92,F120,D$92-SUM(E$99:E120))</f>
        <v>2532116</v>
      </c>
      <c r="E121" s="484">
        <f t="shared" si="28"/>
        <v>123397</v>
      </c>
      <c r="F121" s="485">
        <f t="shared" si="29"/>
        <v>2408719</v>
      </c>
      <c r="G121" s="485">
        <f t="shared" si="30"/>
        <v>2470417.5</v>
      </c>
      <c r="H121" s="488">
        <f t="shared" si="31"/>
        <v>404512.70727880625</v>
      </c>
      <c r="I121" s="542">
        <f t="shared" si="32"/>
        <v>404512.70727880625</v>
      </c>
      <c r="J121" s="478">
        <f t="shared" si="25"/>
        <v>0</v>
      </c>
      <c r="K121" s="478"/>
      <c r="L121" s="487"/>
      <c r="M121" s="478">
        <f t="shared" si="33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4"/>
        <v/>
      </c>
      <c r="C122" s="472">
        <f>IF(D93="","-",+C121+1)</f>
        <v>2037</v>
      </c>
      <c r="D122" s="346">
        <f>IF(F121+SUM(E$99:E121)=D$92,F121,D$92-SUM(E$99:E121))</f>
        <v>2408719</v>
      </c>
      <c r="E122" s="484">
        <f t="shared" si="28"/>
        <v>123397</v>
      </c>
      <c r="F122" s="485">
        <f t="shared" si="29"/>
        <v>2285322</v>
      </c>
      <c r="G122" s="485">
        <f t="shared" si="30"/>
        <v>2347020.5</v>
      </c>
      <c r="H122" s="488">
        <f t="shared" si="31"/>
        <v>390471.0179971027</v>
      </c>
      <c r="I122" s="542">
        <f t="shared" si="32"/>
        <v>390471.0179971027</v>
      </c>
      <c r="J122" s="478">
        <f t="shared" si="25"/>
        <v>0</v>
      </c>
      <c r="K122" s="478"/>
      <c r="L122" s="487"/>
      <c r="M122" s="478">
        <f t="shared" si="33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4"/>
        <v/>
      </c>
      <c r="C123" s="472">
        <f>IF(D93="","-",+C122+1)</f>
        <v>2038</v>
      </c>
      <c r="D123" s="346">
        <f>IF(F122+SUM(E$99:E122)=D$92,F122,D$92-SUM(E$99:E122))</f>
        <v>2285322</v>
      </c>
      <c r="E123" s="484">
        <f t="shared" si="28"/>
        <v>123397</v>
      </c>
      <c r="F123" s="485">
        <f t="shared" si="29"/>
        <v>2161925</v>
      </c>
      <c r="G123" s="485">
        <f t="shared" si="30"/>
        <v>2223623.5</v>
      </c>
      <c r="H123" s="488">
        <f t="shared" si="31"/>
        <v>376429.32871539914</v>
      </c>
      <c r="I123" s="542">
        <f t="shared" si="32"/>
        <v>376429.32871539914</v>
      </c>
      <c r="J123" s="478">
        <f t="shared" si="25"/>
        <v>0</v>
      </c>
      <c r="K123" s="478"/>
      <c r="L123" s="487"/>
      <c r="M123" s="478">
        <f t="shared" si="33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4"/>
        <v/>
      </c>
      <c r="C124" s="472">
        <f>IF(D93="","-",+C123+1)</f>
        <v>2039</v>
      </c>
      <c r="D124" s="346">
        <f>IF(F123+SUM(E$99:E123)=D$92,F123,D$92-SUM(E$99:E123))</f>
        <v>2161925</v>
      </c>
      <c r="E124" s="484">
        <f t="shared" si="28"/>
        <v>123397</v>
      </c>
      <c r="F124" s="485">
        <f t="shared" si="29"/>
        <v>2038528</v>
      </c>
      <c r="G124" s="485">
        <f t="shared" si="30"/>
        <v>2100226.5</v>
      </c>
      <c r="H124" s="488">
        <f t="shared" si="31"/>
        <v>362387.63943369559</v>
      </c>
      <c r="I124" s="542">
        <f t="shared" si="32"/>
        <v>362387.63943369559</v>
      </c>
      <c r="J124" s="478">
        <f t="shared" si="25"/>
        <v>0</v>
      </c>
      <c r="K124" s="478"/>
      <c r="L124" s="487"/>
      <c r="M124" s="478">
        <f t="shared" si="33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4"/>
        <v/>
      </c>
      <c r="C125" s="472">
        <f>IF(D93="","-",+C124+1)</f>
        <v>2040</v>
      </c>
      <c r="D125" s="346">
        <f>IF(F124+SUM(E$99:E124)=D$92,F124,D$92-SUM(E$99:E124))</f>
        <v>2038528</v>
      </c>
      <c r="E125" s="484">
        <f t="shared" si="28"/>
        <v>123397</v>
      </c>
      <c r="F125" s="485">
        <f t="shared" si="29"/>
        <v>1915131</v>
      </c>
      <c r="G125" s="485">
        <f t="shared" si="30"/>
        <v>1976829.5</v>
      </c>
      <c r="H125" s="488">
        <f t="shared" si="31"/>
        <v>348345.95015199209</v>
      </c>
      <c r="I125" s="542">
        <f t="shared" si="32"/>
        <v>348345.95015199209</v>
      </c>
      <c r="J125" s="478">
        <f t="shared" si="25"/>
        <v>0</v>
      </c>
      <c r="K125" s="478"/>
      <c r="L125" s="487"/>
      <c r="M125" s="478">
        <f t="shared" si="33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4"/>
        <v/>
      </c>
      <c r="C126" s="472">
        <f>IF(D93="","-",+C125+1)</f>
        <v>2041</v>
      </c>
      <c r="D126" s="346">
        <f>IF(F125+SUM(E$99:E125)=D$92,F125,D$92-SUM(E$99:E125))</f>
        <v>1915131</v>
      </c>
      <c r="E126" s="484">
        <f t="shared" si="28"/>
        <v>123397</v>
      </c>
      <c r="F126" s="485">
        <f t="shared" si="29"/>
        <v>1791734</v>
      </c>
      <c r="G126" s="485">
        <f t="shared" si="30"/>
        <v>1853432.5</v>
      </c>
      <c r="H126" s="488">
        <f t="shared" si="31"/>
        <v>334304.26087028853</v>
      </c>
      <c r="I126" s="542">
        <f t="shared" si="32"/>
        <v>334304.26087028853</v>
      </c>
      <c r="J126" s="478">
        <f t="shared" si="25"/>
        <v>0</v>
      </c>
      <c r="K126" s="478"/>
      <c r="L126" s="487"/>
      <c r="M126" s="478">
        <f t="shared" si="33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4"/>
        <v/>
      </c>
      <c r="C127" s="472">
        <f>IF(D93="","-",+C126+1)</f>
        <v>2042</v>
      </c>
      <c r="D127" s="346">
        <f>IF(F126+SUM(E$99:E126)=D$92,F126,D$92-SUM(E$99:E126))</f>
        <v>1791734</v>
      </c>
      <c r="E127" s="484">
        <f t="shared" si="28"/>
        <v>123397</v>
      </c>
      <c r="F127" s="485">
        <f t="shared" si="29"/>
        <v>1668337</v>
      </c>
      <c r="G127" s="485">
        <f t="shared" si="30"/>
        <v>1730035.5</v>
      </c>
      <c r="H127" s="488">
        <f t="shared" si="31"/>
        <v>320262.57158858504</v>
      </c>
      <c r="I127" s="542">
        <f t="shared" si="32"/>
        <v>320262.57158858504</v>
      </c>
      <c r="J127" s="478">
        <f t="shared" si="25"/>
        <v>0</v>
      </c>
      <c r="K127" s="478"/>
      <c r="L127" s="487"/>
      <c r="M127" s="478">
        <f t="shared" si="33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4"/>
        <v/>
      </c>
      <c r="C128" s="472">
        <f>IF(D93="","-",+C127+1)</f>
        <v>2043</v>
      </c>
      <c r="D128" s="346">
        <f>IF(F127+SUM(E$99:E127)=D$92,F127,D$92-SUM(E$99:E127))</f>
        <v>1668337</v>
      </c>
      <c r="E128" s="484">
        <f t="shared" si="28"/>
        <v>123397</v>
      </c>
      <c r="F128" s="485">
        <f t="shared" si="29"/>
        <v>1544940</v>
      </c>
      <c r="G128" s="485">
        <f t="shared" si="30"/>
        <v>1606638.5</v>
      </c>
      <c r="H128" s="488">
        <f t="shared" si="31"/>
        <v>306220.88230688148</v>
      </c>
      <c r="I128" s="542">
        <f t="shared" si="32"/>
        <v>306220.88230688148</v>
      </c>
      <c r="J128" s="478">
        <f t="shared" si="25"/>
        <v>0</v>
      </c>
      <c r="K128" s="478"/>
      <c r="L128" s="487"/>
      <c r="M128" s="478">
        <f t="shared" si="33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4"/>
        <v/>
      </c>
      <c r="C129" s="472">
        <f>IF(D93="","-",+C128+1)</f>
        <v>2044</v>
      </c>
      <c r="D129" s="346">
        <f>IF(F128+SUM(E$99:E128)=D$92,F128,D$92-SUM(E$99:E128))</f>
        <v>1544940</v>
      </c>
      <c r="E129" s="484">
        <f t="shared" si="28"/>
        <v>123397</v>
      </c>
      <c r="F129" s="485">
        <f t="shared" si="29"/>
        <v>1421543</v>
      </c>
      <c r="G129" s="485">
        <f t="shared" si="30"/>
        <v>1483241.5</v>
      </c>
      <c r="H129" s="488">
        <f t="shared" si="31"/>
        <v>292179.19302517793</v>
      </c>
      <c r="I129" s="542">
        <f t="shared" si="32"/>
        <v>292179.19302517793</v>
      </c>
      <c r="J129" s="478">
        <f t="shared" si="25"/>
        <v>0</v>
      </c>
      <c r="K129" s="478"/>
      <c r="L129" s="487"/>
      <c r="M129" s="478">
        <f t="shared" si="33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4"/>
        <v/>
      </c>
      <c r="C130" s="472">
        <f>IF(D93="","-",+C129+1)</f>
        <v>2045</v>
      </c>
      <c r="D130" s="346">
        <f>IF(F129+SUM(E$99:E129)=D$92,F129,D$92-SUM(E$99:E129))</f>
        <v>1421543</v>
      </c>
      <c r="E130" s="484">
        <f t="shared" si="28"/>
        <v>123397</v>
      </c>
      <c r="F130" s="485">
        <f t="shared" si="29"/>
        <v>1298146</v>
      </c>
      <c r="G130" s="485">
        <f t="shared" si="30"/>
        <v>1359844.5</v>
      </c>
      <c r="H130" s="488">
        <f t="shared" si="31"/>
        <v>278137.50374347437</v>
      </c>
      <c r="I130" s="542">
        <f t="shared" si="32"/>
        <v>278137.50374347437</v>
      </c>
      <c r="J130" s="478">
        <f t="shared" si="25"/>
        <v>0</v>
      </c>
      <c r="K130" s="478"/>
      <c r="L130" s="487"/>
      <c r="M130" s="478">
        <f t="shared" si="33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4"/>
        <v/>
      </c>
      <c r="C131" s="472">
        <f>IF(D93="","-",+C130+1)</f>
        <v>2046</v>
      </c>
      <c r="D131" s="346">
        <f>IF(F130+SUM(E$99:E130)=D$92,F130,D$92-SUM(E$99:E130))</f>
        <v>1298146</v>
      </c>
      <c r="E131" s="484">
        <f t="shared" si="28"/>
        <v>123397</v>
      </c>
      <c r="F131" s="485">
        <f t="shared" si="29"/>
        <v>1174749</v>
      </c>
      <c r="G131" s="485">
        <f t="shared" si="30"/>
        <v>1236447.5</v>
      </c>
      <c r="H131" s="488">
        <f t="shared" si="31"/>
        <v>264095.81446177082</v>
      </c>
      <c r="I131" s="542">
        <f t="shared" si="32"/>
        <v>264095.81446177082</v>
      </c>
      <c r="J131" s="478">
        <f t="shared" si="25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 ht="12.5">
      <c r="B132" s="160" t="str">
        <f t="shared" si="24"/>
        <v/>
      </c>
      <c r="C132" s="472">
        <f>IF(D93="","-",+C131+1)</f>
        <v>2047</v>
      </c>
      <c r="D132" s="346">
        <f>IF(F131+SUM(E$99:E131)=D$92,F131,D$92-SUM(E$99:E131))</f>
        <v>1174749</v>
      </c>
      <c r="E132" s="484">
        <f t="shared" si="28"/>
        <v>123397</v>
      </c>
      <c r="F132" s="485">
        <f t="shared" si="29"/>
        <v>1051352</v>
      </c>
      <c r="G132" s="485">
        <f t="shared" si="30"/>
        <v>1113050.5</v>
      </c>
      <c r="H132" s="488">
        <f t="shared" si="31"/>
        <v>250054.12518006732</v>
      </c>
      <c r="I132" s="542">
        <f t="shared" si="32"/>
        <v>250054.12518006732</v>
      </c>
      <c r="J132" s="478">
        <f t="shared" si="25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 ht="12.5">
      <c r="B133" s="160" t="str">
        <f t="shared" si="24"/>
        <v/>
      </c>
      <c r="C133" s="472">
        <f>IF(D93="","-",+C132+1)</f>
        <v>2048</v>
      </c>
      <c r="D133" s="346">
        <f>IF(F132+SUM(E$99:E132)=D$92,F132,D$92-SUM(E$99:E132))</f>
        <v>1051352</v>
      </c>
      <c r="E133" s="484">
        <f t="shared" si="28"/>
        <v>123397</v>
      </c>
      <c r="F133" s="485">
        <f t="shared" si="29"/>
        <v>927955</v>
      </c>
      <c r="G133" s="485">
        <f t="shared" si="30"/>
        <v>989653.5</v>
      </c>
      <c r="H133" s="488">
        <f t="shared" si="31"/>
        <v>236012.43589836376</v>
      </c>
      <c r="I133" s="542">
        <f t="shared" si="32"/>
        <v>236012.43589836376</v>
      </c>
      <c r="J133" s="478">
        <f t="shared" si="25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 ht="12.5">
      <c r="B134" s="160" t="str">
        <f t="shared" si="24"/>
        <v/>
      </c>
      <c r="C134" s="472">
        <f>IF(D93="","-",+C133+1)</f>
        <v>2049</v>
      </c>
      <c r="D134" s="346">
        <f>IF(F133+SUM(E$99:E133)=D$92,F133,D$92-SUM(E$99:E133))</f>
        <v>927955</v>
      </c>
      <c r="E134" s="484">
        <f t="shared" si="28"/>
        <v>123397</v>
      </c>
      <c r="F134" s="485">
        <f t="shared" si="29"/>
        <v>804558</v>
      </c>
      <c r="G134" s="485">
        <f t="shared" si="30"/>
        <v>866256.5</v>
      </c>
      <c r="H134" s="488">
        <f t="shared" si="31"/>
        <v>221970.74661666021</v>
      </c>
      <c r="I134" s="542">
        <f t="shared" si="32"/>
        <v>221970.74661666021</v>
      </c>
      <c r="J134" s="478">
        <f t="shared" si="25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 ht="12.5">
      <c r="B135" s="160" t="str">
        <f t="shared" si="24"/>
        <v/>
      </c>
      <c r="C135" s="472">
        <f>IF(D93="","-",+C134+1)</f>
        <v>2050</v>
      </c>
      <c r="D135" s="346">
        <f>IF(F134+SUM(E$99:E134)=D$92,F134,D$92-SUM(E$99:E134))</f>
        <v>804558</v>
      </c>
      <c r="E135" s="484">
        <f t="shared" si="28"/>
        <v>123397</v>
      </c>
      <c r="F135" s="485">
        <f t="shared" si="29"/>
        <v>681161</v>
      </c>
      <c r="G135" s="485">
        <f t="shared" si="30"/>
        <v>742859.5</v>
      </c>
      <c r="H135" s="488">
        <f t="shared" si="31"/>
        <v>207929.05733495668</v>
      </c>
      <c r="I135" s="542">
        <f t="shared" si="32"/>
        <v>207929.05733495668</v>
      </c>
      <c r="J135" s="478">
        <f t="shared" si="25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 ht="12.5">
      <c r="B136" s="160" t="str">
        <f t="shared" si="24"/>
        <v/>
      </c>
      <c r="C136" s="472">
        <f>IF(D93="","-",+C135+1)</f>
        <v>2051</v>
      </c>
      <c r="D136" s="346">
        <f>IF(F135+SUM(E$99:E135)=D$92,F135,D$92-SUM(E$99:E135))</f>
        <v>681161</v>
      </c>
      <c r="E136" s="484">
        <f t="shared" si="28"/>
        <v>123397</v>
      </c>
      <c r="F136" s="485">
        <f t="shared" si="29"/>
        <v>557764</v>
      </c>
      <c r="G136" s="485">
        <f t="shared" si="30"/>
        <v>619462.5</v>
      </c>
      <c r="H136" s="488">
        <f t="shared" si="31"/>
        <v>193887.36805325316</v>
      </c>
      <c r="I136" s="542">
        <f t="shared" si="32"/>
        <v>193887.36805325316</v>
      </c>
      <c r="J136" s="478">
        <f t="shared" si="25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 ht="12.5">
      <c r="B137" s="160" t="str">
        <f t="shared" si="24"/>
        <v/>
      </c>
      <c r="C137" s="472">
        <f>IF(D93="","-",+C136+1)</f>
        <v>2052</v>
      </c>
      <c r="D137" s="346">
        <f>IF(F136+SUM(E$99:E136)=D$92,F136,D$92-SUM(E$99:E136))</f>
        <v>557764</v>
      </c>
      <c r="E137" s="484">
        <f t="shared" si="28"/>
        <v>123397</v>
      </c>
      <c r="F137" s="485">
        <f t="shared" si="29"/>
        <v>434367</v>
      </c>
      <c r="G137" s="485">
        <f t="shared" si="30"/>
        <v>496065.5</v>
      </c>
      <c r="H137" s="488">
        <f t="shared" si="31"/>
        <v>179845.6787715496</v>
      </c>
      <c r="I137" s="542">
        <f t="shared" si="32"/>
        <v>179845.6787715496</v>
      </c>
      <c r="J137" s="478">
        <f t="shared" si="25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 ht="12.5">
      <c r="B138" s="160" t="str">
        <f t="shared" si="24"/>
        <v/>
      </c>
      <c r="C138" s="472">
        <f>IF(D93="","-",+C137+1)</f>
        <v>2053</v>
      </c>
      <c r="D138" s="346">
        <f>IF(F137+SUM(E$99:E137)=D$92,F137,D$92-SUM(E$99:E137))</f>
        <v>434367</v>
      </c>
      <c r="E138" s="484">
        <f t="shared" si="28"/>
        <v>123397</v>
      </c>
      <c r="F138" s="485">
        <f t="shared" si="29"/>
        <v>310970</v>
      </c>
      <c r="G138" s="485">
        <f t="shared" si="30"/>
        <v>372668.5</v>
      </c>
      <c r="H138" s="488">
        <f t="shared" si="31"/>
        <v>165803.98948984608</v>
      </c>
      <c r="I138" s="542">
        <f t="shared" si="32"/>
        <v>165803.98948984608</v>
      </c>
      <c r="J138" s="478">
        <f t="shared" si="25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 ht="12.5">
      <c r="B139" s="160" t="str">
        <f t="shared" si="24"/>
        <v/>
      </c>
      <c r="C139" s="472">
        <f>IF(D93="","-",+C138+1)</f>
        <v>2054</v>
      </c>
      <c r="D139" s="346">
        <f>IF(F138+SUM(E$99:E138)=D$92,F138,D$92-SUM(E$99:E138))</f>
        <v>310970</v>
      </c>
      <c r="E139" s="484">
        <f t="shared" si="28"/>
        <v>123397</v>
      </c>
      <c r="F139" s="485">
        <f t="shared" si="29"/>
        <v>187573</v>
      </c>
      <c r="G139" s="485">
        <f t="shared" si="30"/>
        <v>249271.5</v>
      </c>
      <c r="H139" s="488">
        <f t="shared" si="31"/>
        <v>151762.30020814252</v>
      </c>
      <c r="I139" s="542">
        <f t="shared" si="32"/>
        <v>151762.30020814252</v>
      </c>
      <c r="J139" s="478">
        <f t="shared" si="25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 ht="12.5">
      <c r="B140" s="160" t="str">
        <f t="shared" si="24"/>
        <v/>
      </c>
      <c r="C140" s="472">
        <f>IF(D93="","-",+C139+1)</f>
        <v>2055</v>
      </c>
      <c r="D140" s="346">
        <f>IF(F139+SUM(E$99:E139)=D$92,F139,D$92-SUM(E$99:E139))</f>
        <v>187573</v>
      </c>
      <c r="E140" s="484">
        <f t="shared" si="28"/>
        <v>123397</v>
      </c>
      <c r="F140" s="485">
        <f t="shared" si="29"/>
        <v>64176</v>
      </c>
      <c r="G140" s="485">
        <f t="shared" si="30"/>
        <v>125874.5</v>
      </c>
      <c r="H140" s="488">
        <f t="shared" si="31"/>
        <v>137720.610926439</v>
      </c>
      <c r="I140" s="542">
        <f t="shared" si="32"/>
        <v>137720.610926439</v>
      </c>
      <c r="J140" s="478">
        <f t="shared" si="25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 ht="12.5">
      <c r="B141" s="160" t="str">
        <f t="shared" si="24"/>
        <v/>
      </c>
      <c r="C141" s="472">
        <f>IF(D93="","-",+C140+1)</f>
        <v>2056</v>
      </c>
      <c r="D141" s="346">
        <f>IF(F140+SUM(E$99:E140)=D$92,F140,D$92-SUM(E$99:E140))</f>
        <v>64176</v>
      </c>
      <c r="E141" s="484">
        <f t="shared" si="28"/>
        <v>64176</v>
      </c>
      <c r="F141" s="485">
        <f t="shared" si="29"/>
        <v>0</v>
      </c>
      <c r="G141" s="485">
        <f t="shared" si="30"/>
        <v>32088</v>
      </c>
      <c r="H141" s="488">
        <f t="shared" si="31"/>
        <v>67827.383142793609</v>
      </c>
      <c r="I141" s="542">
        <f t="shared" si="32"/>
        <v>67827.383142793609</v>
      </c>
      <c r="J141" s="478">
        <f t="shared" si="25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 ht="12.5">
      <c r="B142" s="160" t="str">
        <f t="shared" si="24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8">
        <f t="shared" si="31"/>
        <v>0</v>
      </c>
      <c r="I142" s="542">
        <f t="shared" si="32"/>
        <v>0</v>
      </c>
      <c r="J142" s="478">
        <f t="shared" si="25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 ht="12.5">
      <c r="B143" s="160" t="str">
        <f t="shared" si="24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8">
        <f t="shared" si="31"/>
        <v>0</v>
      </c>
      <c r="I143" s="542">
        <f t="shared" si="32"/>
        <v>0</v>
      </c>
      <c r="J143" s="478">
        <f t="shared" si="25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 ht="12.5">
      <c r="B144" s="160" t="str">
        <f t="shared" si="24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8">
        <f t="shared" si="31"/>
        <v>0</v>
      </c>
      <c r="I144" s="542">
        <f t="shared" si="32"/>
        <v>0</v>
      </c>
      <c r="J144" s="478">
        <f t="shared" si="25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 ht="12.5">
      <c r="B145" s="160" t="str">
        <f t="shared" si="24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8">
        <f t="shared" si="31"/>
        <v>0</v>
      </c>
      <c r="I145" s="542">
        <f t="shared" si="32"/>
        <v>0</v>
      </c>
      <c r="J145" s="478">
        <f t="shared" si="25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 ht="12.5">
      <c r="B146" s="160" t="str">
        <f t="shared" si="24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8">
        <f t="shared" si="31"/>
        <v>0</v>
      </c>
      <c r="I146" s="542">
        <f t="shared" si="32"/>
        <v>0</v>
      </c>
      <c r="J146" s="478">
        <f t="shared" si="25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 ht="12.5">
      <c r="B147" s="160" t="str">
        <f t="shared" si="24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8">
        <f t="shared" si="31"/>
        <v>0</v>
      </c>
      <c r="I147" s="542">
        <f t="shared" si="32"/>
        <v>0</v>
      </c>
      <c r="J147" s="478">
        <f t="shared" si="25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 ht="12.5">
      <c r="B148" s="160" t="str">
        <f t="shared" si="24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8">
        <f t="shared" si="31"/>
        <v>0</v>
      </c>
      <c r="I148" s="542">
        <f t="shared" si="32"/>
        <v>0</v>
      </c>
      <c r="J148" s="478">
        <f t="shared" si="25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 ht="12.5">
      <c r="B149" s="160" t="str">
        <f t="shared" si="24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8">
        <f t="shared" si="31"/>
        <v>0</v>
      </c>
      <c r="I149" s="542">
        <f t="shared" si="32"/>
        <v>0</v>
      </c>
      <c r="J149" s="478">
        <f t="shared" si="25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 ht="12.5">
      <c r="B150" s="160" t="str">
        <f t="shared" si="24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8">
        <f t="shared" si="31"/>
        <v>0</v>
      </c>
      <c r="I150" s="542">
        <f t="shared" si="32"/>
        <v>0</v>
      </c>
      <c r="J150" s="478">
        <f t="shared" si="25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 ht="12.5">
      <c r="B151" s="160" t="str">
        <f t="shared" si="24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8">
        <f t="shared" si="31"/>
        <v>0</v>
      </c>
      <c r="I151" s="542">
        <f t="shared" si="32"/>
        <v>0</v>
      </c>
      <c r="J151" s="478">
        <f t="shared" si="25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 ht="12.5">
      <c r="B152" s="160" t="str">
        <f t="shared" si="24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8">
        <f t="shared" si="31"/>
        <v>0</v>
      </c>
      <c r="I152" s="542">
        <f t="shared" si="32"/>
        <v>0</v>
      </c>
      <c r="J152" s="478">
        <f t="shared" si="25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 ht="12.5">
      <c r="B153" s="160" t="str">
        <f t="shared" si="24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8">
        <f t="shared" si="31"/>
        <v>0</v>
      </c>
      <c r="I153" s="542">
        <f t="shared" si="32"/>
        <v>0</v>
      </c>
      <c r="J153" s="478">
        <f t="shared" si="25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" thickBot="1">
      <c r="B154" s="160" t="str">
        <f t="shared" si="24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28"/>
        <v>0</v>
      </c>
      <c r="F154" s="485">
        <f t="shared" si="29"/>
        <v>0</v>
      </c>
      <c r="G154" s="485">
        <f t="shared" si="30"/>
        <v>0</v>
      </c>
      <c r="H154" s="488">
        <f t="shared" si="31"/>
        <v>0</v>
      </c>
      <c r="I154" s="542">
        <f t="shared" si="32"/>
        <v>0</v>
      </c>
      <c r="J154" s="478">
        <f t="shared" si="25"/>
        <v>0</v>
      </c>
      <c r="K154" s="478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 ht="12.5">
      <c r="C155" s="346" t="s">
        <v>77</v>
      </c>
      <c r="D155" s="347"/>
      <c r="E155" s="347">
        <f>SUM(E99:E154)</f>
        <v>5059278</v>
      </c>
      <c r="F155" s="347"/>
      <c r="G155" s="347"/>
      <c r="H155" s="347">
        <f>SUM(H99:H154)</f>
        <v>17660080.054709099</v>
      </c>
      <c r="I155" s="347">
        <f>SUM(I99:I154)</f>
        <v>17660080.054709099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/>
  <dimension ref="A1:S137"/>
  <sheetViews>
    <sheetView view="pageBreakPreview" zoomScale="80" zoomScaleNormal="100" zoomScaleSheetLayoutView="80" workbookViewId="0">
      <selection sqref="A1:J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16.1796875" style="148" customWidth="1"/>
    <col min="10" max="10" width="2.179687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3.54296875" style="148" bestFit="1" customWidth="1"/>
    <col min="17" max="17" width="4.7265625" style="148" customWidth="1"/>
    <col min="18" max="18" width="15.453125" style="148" customWidth="1"/>
    <col min="19" max="19" width="81.81640625" style="148" bestFit="1" customWidth="1"/>
    <col min="20" max="22" width="8.7265625" style="148"/>
    <col min="23" max="23" width="9.1796875" style="148" customWidth="1"/>
    <col min="24" max="16384" width="8.7265625" style="148"/>
  </cols>
  <sheetData>
    <row r="1" spans="1:18" ht="17.5">
      <c r="A1" s="645" t="s">
        <v>123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18" ht="17.5">
      <c r="A2" s="647" t="str">
        <f>L19+1&amp;" Cost of Service Formula Rate Projected on "&amp;L19&amp;" FF1 Balances"</f>
        <v>2024 Cost of Service Formula Rate Projected on 2023 FF1 Balances</v>
      </c>
      <c r="B2" s="647"/>
      <c r="C2" s="647"/>
      <c r="D2" s="647"/>
      <c r="E2" s="647"/>
      <c r="F2" s="647"/>
      <c r="G2" s="647"/>
      <c r="H2" s="647"/>
      <c r="I2" s="647"/>
      <c r="J2" s="647"/>
    </row>
    <row r="3" spans="1:18" ht="18">
      <c r="A3" s="648" t="s">
        <v>140</v>
      </c>
      <c r="B3" s="647"/>
      <c r="C3" s="647"/>
      <c r="D3" s="647"/>
      <c r="E3" s="647"/>
      <c r="F3" s="647"/>
      <c r="G3" s="647"/>
      <c r="H3" s="647"/>
      <c r="I3" s="647"/>
      <c r="J3" s="647"/>
      <c r="Q3" s="239" t="s">
        <v>125</v>
      </c>
    </row>
    <row r="4" spans="1:18" ht="17.5">
      <c r="A4" s="647" t="str">
        <f>"Based on a Carrying Charge Derived from ""Historic"" "&amp;L19&amp;" Data"</f>
        <v>Based on a Carrying Charge Derived from "Historic" 2023 Data</v>
      </c>
      <c r="B4" s="647"/>
      <c r="C4" s="647"/>
      <c r="D4" s="647"/>
      <c r="E4" s="647"/>
      <c r="F4" s="647"/>
      <c r="G4" s="647"/>
      <c r="H4" s="647"/>
      <c r="I4" s="647"/>
      <c r="J4" s="647"/>
    </row>
    <row r="5" spans="1:18" ht="18">
      <c r="A5" s="649" t="s">
        <v>124</v>
      </c>
      <c r="B5" s="649"/>
      <c r="C5" s="649"/>
      <c r="D5" s="649"/>
      <c r="E5" s="649"/>
      <c r="F5" s="649"/>
      <c r="G5" s="649"/>
      <c r="H5" s="649"/>
      <c r="I5" s="649"/>
      <c r="J5" s="649"/>
    </row>
    <row r="6" spans="1:18" ht="12.5">
      <c r="A6" s="232"/>
      <c r="B6" s="232"/>
      <c r="C6" s="232"/>
      <c r="D6" s="240"/>
      <c r="E6" s="232"/>
      <c r="F6" s="232"/>
      <c r="G6" s="232"/>
      <c r="H6" s="241"/>
      <c r="I6" s="232"/>
      <c r="J6" s="242"/>
    </row>
    <row r="7" spans="1:18" ht="12.5">
      <c r="D7" s="160"/>
      <c r="H7" s="216"/>
      <c r="J7" s="195"/>
    </row>
    <row r="8" spans="1:18" ht="38.25" customHeight="1">
      <c r="B8" s="243" t="s">
        <v>0</v>
      </c>
      <c r="C8" s="641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2"/>
      <c r="E8" s="642"/>
      <c r="F8" s="642"/>
      <c r="G8" s="642"/>
      <c r="H8" s="642"/>
      <c r="J8" s="195"/>
      <c r="R8" s="234"/>
    </row>
    <row r="9" spans="1:18" ht="12.5">
      <c r="D9" s="160"/>
      <c r="H9" s="216"/>
      <c r="J9" s="195"/>
    </row>
    <row r="10" spans="1:18" ht="15.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6"/>
      <c r="J10" s="195"/>
      <c r="K10" s="245"/>
      <c r="L10" s="246"/>
    </row>
    <row r="11" spans="1:18" ht="12.5">
      <c r="D11" s="160"/>
      <c r="H11" s="216"/>
      <c r="J11" s="195"/>
    </row>
    <row r="12" spans="1:18" ht="12.5">
      <c r="C12" s="247" t="str">
        <f>S105</f>
        <v xml:space="preserve">   ROE w/o incentives  (TCOS, ln 143)</v>
      </c>
      <c r="D12" s="160"/>
      <c r="E12" s="248"/>
      <c r="F12" s="249">
        <v>0.105</v>
      </c>
      <c r="G12" s="250"/>
      <c r="H12" s="251"/>
      <c r="I12" s="252"/>
      <c r="J12" s="253"/>
      <c r="K12" s="252"/>
      <c r="L12" s="252"/>
      <c r="M12" s="252"/>
      <c r="N12" s="252"/>
      <c r="O12" s="248"/>
      <c r="P12" s="252"/>
      <c r="Q12" s="232"/>
    </row>
    <row r="13" spans="1:18" ht="12.5">
      <c r="C13" s="247" t="s">
        <v>1</v>
      </c>
      <c r="D13" s="160"/>
      <c r="E13" s="248"/>
      <c r="F13" s="254">
        <f>+R106</f>
        <v>0</v>
      </c>
      <c r="G13" s="148" t="s">
        <v>152</v>
      </c>
      <c r="K13" s="252"/>
      <c r="L13" s="252"/>
      <c r="M13" s="252"/>
      <c r="N13" s="252"/>
      <c r="O13" s="248"/>
      <c r="P13" s="252"/>
      <c r="Q13" s="232"/>
    </row>
    <row r="14" spans="1:18" ht="13.5" thickBot="1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H14" s="252"/>
      <c r="I14" s="252"/>
      <c r="J14" s="253"/>
      <c r="K14" s="252"/>
      <c r="L14" s="252"/>
      <c r="M14" s="252"/>
      <c r="N14" s="252"/>
      <c r="O14" s="248"/>
      <c r="P14" s="252"/>
      <c r="Q14" s="232"/>
    </row>
    <row r="15" spans="1:18" ht="12.5">
      <c r="C15" s="247" t="s">
        <v>231</v>
      </c>
      <c r="D15" s="160"/>
      <c r="E15" s="248"/>
      <c r="F15" s="255"/>
      <c r="G15" s="248"/>
      <c r="H15" s="252"/>
      <c r="I15" s="252"/>
      <c r="J15" s="253"/>
      <c r="K15" s="635" t="s">
        <v>3</v>
      </c>
      <c r="L15" s="636"/>
      <c r="M15" s="636"/>
      <c r="N15" s="636"/>
      <c r="O15" s="637"/>
      <c r="P15" s="252"/>
      <c r="Q15" s="232"/>
    </row>
    <row r="16" spans="1:18" ht="12.5">
      <c r="C16" s="253"/>
      <c r="D16" s="257" t="s">
        <v>4</v>
      </c>
      <c r="E16" s="257" t="s">
        <v>5</v>
      </c>
      <c r="F16" s="258" t="s">
        <v>6</v>
      </c>
      <c r="G16" s="248"/>
      <c r="H16" s="252"/>
      <c r="I16" s="252"/>
      <c r="J16" s="253"/>
      <c r="K16" s="638"/>
      <c r="L16" s="639"/>
      <c r="M16" s="639"/>
      <c r="N16" s="639"/>
      <c r="O16" s="640"/>
      <c r="P16" s="252"/>
      <c r="Q16" s="232"/>
    </row>
    <row r="17" spans="3:17" ht="12.5">
      <c r="C17" s="259" t="s">
        <v>7</v>
      </c>
      <c r="D17" s="260">
        <f>+R107</f>
        <v>0.44351731865779193</v>
      </c>
      <c r="E17" s="261">
        <f>+R108</f>
        <v>3.8900194800400766E-2</v>
      </c>
      <c r="F17" s="262">
        <f>E17*D17</f>
        <v>1.7252910093139527E-2</v>
      </c>
      <c r="G17" s="248"/>
      <c r="H17" s="252"/>
      <c r="I17" s="263"/>
      <c r="J17" s="264"/>
      <c r="K17" s="265"/>
      <c r="L17" s="266"/>
      <c r="M17" s="253" t="s">
        <v>8</v>
      </c>
      <c r="N17" s="253" t="s">
        <v>9</v>
      </c>
      <c r="O17" s="267" t="s">
        <v>10</v>
      </c>
      <c r="P17" s="252"/>
      <c r="Q17" s="232"/>
    </row>
    <row r="18" spans="3:17" ht="12.5">
      <c r="C18" s="259" t="s">
        <v>11</v>
      </c>
      <c r="D18" s="260">
        <f>+R109</f>
        <v>0</v>
      </c>
      <c r="E18" s="261">
        <f>+R110</f>
        <v>0</v>
      </c>
      <c r="F18" s="262">
        <f>E18*D18</f>
        <v>0</v>
      </c>
      <c r="G18" s="268"/>
      <c r="H18" s="268"/>
      <c r="I18" s="269"/>
      <c r="J18" s="270"/>
      <c r="K18" s="271"/>
      <c r="L18" s="195"/>
      <c r="M18" s="195"/>
      <c r="N18" s="195"/>
      <c r="O18" s="272"/>
      <c r="P18" s="268"/>
      <c r="Q18" s="232"/>
    </row>
    <row r="19" spans="3:17" ht="13" thickBot="1">
      <c r="C19" s="273" t="s">
        <v>12</v>
      </c>
      <c r="D19" s="260">
        <f>+R111</f>
        <v>0.55648268134220802</v>
      </c>
      <c r="E19" s="261">
        <f>+F14</f>
        <v>0.105</v>
      </c>
      <c r="F19" s="274">
        <f>E19*D19</f>
        <v>5.8430681540931839E-2</v>
      </c>
      <c r="G19" s="268"/>
      <c r="H19" s="268"/>
      <c r="I19" s="255"/>
      <c r="J19" s="270"/>
      <c r="K19" s="275" t="s">
        <v>13</v>
      </c>
      <c r="L19" s="276">
        <f>R104</f>
        <v>2023</v>
      </c>
      <c r="M19" s="277">
        <f>SUM('P.001:P.xyz - blank'!N5)</f>
        <v>8837545.4268044475</v>
      </c>
      <c r="N19" s="277">
        <f>SUM('P.001:P.xyz - blank'!N6)</f>
        <v>8837545.4268044475</v>
      </c>
      <c r="O19" s="278">
        <f>+N19-M19</f>
        <v>0</v>
      </c>
      <c r="P19" s="269"/>
      <c r="Q19" s="232"/>
    </row>
    <row r="20" spans="3:17" ht="12.5">
      <c r="C20" s="247"/>
      <c r="D20" s="248"/>
      <c r="E20" s="279" t="s">
        <v>14</v>
      </c>
      <c r="F20" s="262">
        <f>SUM(F17:F19)</f>
        <v>7.5683591634071373E-2</v>
      </c>
      <c r="G20" s="268"/>
      <c r="H20" s="268"/>
      <c r="I20" s="269"/>
      <c r="J20" s="270"/>
      <c r="M20" s="280" t="str">
        <f>IF(M19=SUM('P.001:P.xyz - blank'!N5),"","ERROR")</f>
        <v/>
      </c>
      <c r="N20" s="280" t="str">
        <f>IF(N19=SUM('P.001:P.xyz - blank'!N6),"","ERROR")</f>
        <v/>
      </c>
      <c r="O20" s="280" t="str">
        <f>IF(O19=SUM('P.001:P.xyz - blank'!N7),"","ERROR")</f>
        <v/>
      </c>
      <c r="P20" s="268"/>
      <c r="Q20" s="232"/>
    </row>
    <row r="21" spans="3:17" ht="13">
      <c r="D21" s="281"/>
      <c r="E21" s="281"/>
      <c r="F21" s="268"/>
      <c r="G21" s="268"/>
      <c r="H21" s="268"/>
      <c r="I21" s="268"/>
      <c r="J21" s="282"/>
      <c r="K21" s="178" t="s">
        <v>15</v>
      </c>
      <c r="P21" s="268"/>
      <c r="Q21" s="232"/>
    </row>
    <row r="22" spans="3:17" ht="15.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68"/>
      <c r="H22" s="248"/>
      <c r="I22" s="268"/>
      <c r="J22" s="282"/>
      <c r="K22" s="148" t="s">
        <v>16</v>
      </c>
      <c r="P22" s="268"/>
      <c r="Q22" s="232"/>
    </row>
    <row r="23" spans="3:17" ht="12.5">
      <c r="C23" s="253"/>
      <c r="D23" s="281"/>
      <c r="E23" s="281"/>
      <c r="F23" s="282"/>
      <c r="G23" s="282"/>
      <c r="H23" s="282"/>
      <c r="I23" s="282"/>
      <c r="J23" s="282"/>
      <c r="K23" s="269"/>
      <c r="L23" s="284"/>
      <c r="M23" s="236"/>
      <c r="N23" s="269"/>
      <c r="O23" s="268"/>
      <c r="P23" s="282"/>
      <c r="Q23" s="242"/>
    </row>
    <row r="24" spans="3:17" ht="12.5">
      <c r="C24" s="247" t="str">
        <f>+S112</f>
        <v xml:space="preserve">   Rate Base  (TCOS, ln 63)</v>
      </c>
      <c r="D24" s="248"/>
      <c r="E24" s="285">
        <f>+R112</f>
        <v>691092852.09287727</v>
      </c>
      <c r="F24" s="286"/>
      <c r="G24" s="282"/>
      <c r="H24" s="282"/>
      <c r="I24" s="282"/>
      <c r="J24" s="282"/>
      <c r="K24" s="282"/>
      <c r="L24" s="282"/>
      <c r="M24" s="282"/>
      <c r="N24" s="282"/>
      <c r="O24" s="282"/>
      <c r="P24" s="286"/>
      <c r="Q24" s="242"/>
    </row>
    <row r="25" spans="3:17" ht="12.5">
      <c r="C25" s="253" t="s">
        <v>17</v>
      </c>
      <c r="D25" s="250"/>
      <c r="E25" s="287">
        <f>F20</f>
        <v>7.5683591634071373E-2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42"/>
    </row>
    <row r="26" spans="3:17" ht="12.5">
      <c r="C26" s="288" t="s">
        <v>18</v>
      </c>
      <c r="D26" s="288"/>
      <c r="E26" s="269">
        <f>E24*E25</f>
        <v>52304389.199023008</v>
      </c>
      <c r="F26" s="282"/>
      <c r="G26" s="282"/>
      <c r="H26" s="282"/>
      <c r="I26" s="270"/>
      <c r="J26" s="270"/>
      <c r="K26" s="270"/>
      <c r="L26" s="270"/>
      <c r="M26" s="282"/>
      <c r="N26" s="270"/>
      <c r="O26" s="282"/>
      <c r="P26" s="282"/>
      <c r="Q26" s="242"/>
    </row>
    <row r="27" spans="3:17" ht="12.5">
      <c r="C27" s="289"/>
      <c r="D27" s="252"/>
      <c r="E27" s="252"/>
      <c r="F27" s="282"/>
      <c r="G27" s="282"/>
      <c r="H27" s="282"/>
      <c r="I27" s="270"/>
      <c r="J27" s="270"/>
      <c r="K27" s="270"/>
      <c r="L27" s="270"/>
      <c r="M27" s="282"/>
      <c r="N27" s="270"/>
      <c r="O27" s="282"/>
      <c r="P27" s="282"/>
      <c r="Q27" s="242"/>
    </row>
    <row r="28" spans="3:17" ht="15.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2"/>
      <c r="J28" s="292"/>
      <c r="K28" s="292"/>
      <c r="L28" s="292"/>
      <c r="M28" s="282"/>
      <c r="N28" s="292"/>
      <c r="O28" s="291"/>
      <c r="P28" s="291"/>
      <c r="Q28" s="242"/>
    </row>
    <row r="29" spans="3:17" ht="12.5">
      <c r="C29" s="247"/>
      <c r="D29" s="252"/>
      <c r="E29" s="252"/>
      <c r="F29" s="282"/>
      <c r="G29" s="282"/>
      <c r="H29" s="282"/>
      <c r="I29" s="270"/>
      <c r="J29" s="270"/>
      <c r="K29" s="270"/>
      <c r="L29" s="270"/>
      <c r="M29" s="282"/>
      <c r="N29" s="270"/>
      <c r="O29" s="282"/>
      <c r="P29" s="282"/>
      <c r="Q29" s="242"/>
    </row>
    <row r="30" spans="3:17" ht="12.5">
      <c r="C30" s="253" t="s">
        <v>19</v>
      </c>
      <c r="D30" s="279"/>
      <c r="E30" s="293">
        <f>E26</f>
        <v>52304389.199023008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42"/>
    </row>
    <row r="31" spans="3:17" ht="12.5">
      <c r="C31" s="247" t="str">
        <f>+S113</f>
        <v xml:space="preserve">   Tax Rate  (TCOS, ln 99)</v>
      </c>
      <c r="D31" s="279"/>
      <c r="E31" s="294">
        <f>+R113</f>
        <v>0.24025699999999994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42"/>
    </row>
    <row r="32" spans="3:17" ht="12.5">
      <c r="C32" s="253" t="s">
        <v>20</v>
      </c>
      <c r="D32" s="240"/>
      <c r="E32" s="255">
        <f>IF(F17&gt;0,($E31/(1-$E31))*(1-$F17/$F20),0)</f>
        <v>0.24414540830505008</v>
      </c>
      <c r="F32" s="232"/>
      <c r="G32" s="255"/>
      <c r="H32" s="241"/>
      <c r="I32" s="232"/>
      <c r="J32" s="242"/>
      <c r="K32" s="232"/>
      <c r="L32" s="232"/>
      <c r="M32" s="232"/>
      <c r="N32" s="232"/>
      <c r="O32" s="232"/>
      <c r="P32" s="232"/>
      <c r="Q32" s="232"/>
    </row>
    <row r="33" spans="2:19" ht="12.5">
      <c r="C33" s="288" t="s">
        <v>21</v>
      </c>
      <c r="D33" s="295"/>
      <c r="E33" s="296">
        <f>E30*E32</f>
        <v>12769876.457141723</v>
      </c>
      <c r="F33" s="296"/>
      <c r="G33" s="232"/>
      <c r="H33" s="241"/>
      <c r="I33" s="232"/>
      <c r="J33" s="242"/>
      <c r="K33" s="232"/>
      <c r="L33" s="232"/>
      <c r="M33" s="232"/>
      <c r="N33" s="232"/>
      <c r="O33" s="232"/>
      <c r="P33" s="232"/>
      <c r="Q33" s="232"/>
    </row>
    <row r="34" spans="2:19" ht="15.5">
      <c r="C34" s="247" t="str">
        <f>+S114</f>
        <v xml:space="preserve">   ITC Adjustment  (TCOS, ln 108)</v>
      </c>
      <c r="D34" s="297"/>
      <c r="E34" s="298">
        <f>+R114</f>
        <v>-307552.43396744458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</row>
    <row r="35" spans="2:19" ht="15.5">
      <c r="C35" s="247" t="str">
        <f>+S115</f>
        <v xml:space="preserve">   Excess DFIT Adjustment  (TCOS, ln 109)</v>
      </c>
      <c r="D35" s="297"/>
      <c r="E35" s="298">
        <f>+R115</f>
        <v>-2340629.3213634901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</row>
    <row r="36" spans="2:19" ht="15.5">
      <c r="C36" s="247" t="str">
        <f>+S116</f>
        <v xml:space="preserve">   Tax Effect of Permanent and Flow Through Differences  (TCOS, ln 110)</v>
      </c>
      <c r="D36" s="297"/>
      <c r="E36" s="298">
        <f>+R116</f>
        <v>70869.675666639887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</row>
    <row r="37" spans="2:19" ht="15.5">
      <c r="C37" s="289" t="s">
        <v>22</v>
      </c>
      <c r="D37" s="297"/>
      <c r="E37" s="298">
        <f>E33+E34+E35+E36</f>
        <v>10192564.377477428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32"/>
      <c r="S38" s="232"/>
    </row>
    <row r="39" spans="2:19" ht="18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32"/>
      <c r="S39" s="232"/>
    </row>
    <row r="40" spans="2:19" ht="15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3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32"/>
      <c r="S41" s="232"/>
    </row>
    <row r="42" spans="2:19" ht="15.5">
      <c r="C42" s="244" t="s">
        <v>24</v>
      </c>
      <c r="D42" s="297"/>
      <c r="E42" s="297"/>
      <c r="F42" s="304"/>
      <c r="G42" s="297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32"/>
      <c r="S42" s="232"/>
    </row>
    <row r="43" spans="2:19" ht="12.5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32"/>
      <c r="S43" s="232"/>
    </row>
    <row r="44" spans="2:19" ht="12.75" customHeight="1">
      <c r="B44" s="232"/>
      <c r="C44" s="247" t="str">
        <f>+S117</f>
        <v xml:space="preserve">   Net Revenue Requirement  (TCOS, ln 117)</v>
      </c>
      <c r="D44" s="306"/>
      <c r="E44" s="306"/>
      <c r="F44" s="298">
        <f>+R117</f>
        <v>120644614.02858891</v>
      </c>
      <c r="G44" s="306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32"/>
      <c r="S44" s="232"/>
    </row>
    <row r="45" spans="2:19" ht="12.5">
      <c r="B45" s="232"/>
      <c r="C45" s="247" t="str">
        <f>+S118</f>
        <v xml:space="preserve">   Return  (TCOS, ln 112)</v>
      </c>
      <c r="D45" s="306"/>
      <c r="E45" s="306"/>
      <c r="F45" s="307">
        <f>+R118</f>
        <v>52304389.199023008</v>
      </c>
      <c r="G45" s="308"/>
      <c r="H45" s="308"/>
      <c r="I45" s="308"/>
      <c r="J45" s="308"/>
      <c r="K45" s="308"/>
      <c r="L45" s="308"/>
      <c r="M45" s="308"/>
      <c r="N45" s="308"/>
      <c r="O45" s="308"/>
      <c r="P45" s="298"/>
      <c r="Q45" s="306"/>
      <c r="R45" s="232"/>
      <c r="S45" s="232"/>
    </row>
    <row r="46" spans="2:19" ht="12.5">
      <c r="B46" s="232"/>
      <c r="C46" s="247" t="str">
        <f>+S119</f>
        <v xml:space="preserve">   Income Taxes  (TCOS, ln 111)</v>
      </c>
      <c r="D46" s="306"/>
      <c r="E46" s="306"/>
      <c r="F46" s="298">
        <f>+R119</f>
        <v>10192564.377477428</v>
      </c>
      <c r="G46" s="306"/>
      <c r="H46" s="306"/>
      <c r="I46" s="309"/>
      <c r="J46" s="309"/>
      <c r="K46" s="309"/>
      <c r="L46" s="309"/>
      <c r="M46" s="309"/>
      <c r="N46" s="309"/>
      <c r="O46" s="306"/>
      <c r="P46" s="306"/>
      <c r="Q46" s="306"/>
      <c r="R46" s="232"/>
      <c r="S46" s="232"/>
    </row>
    <row r="47" spans="2:19" ht="12.5">
      <c r="B47" s="232"/>
      <c r="C47" s="305" t="str">
        <f>+S120</f>
        <v xml:space="preserve">  Gross Margin Taxes  (TCOS, ln 116)</v>
      </c>
      <c r="D47" s="306"/>
      <c r="E47" s="306"/>
      <c r="F47" s="310">
        <f>+R120</f>
        <v>0</v>
      </c>
      <c r="G47" s="306"/>
      <c r="H47" s="306"/>
      <c r="I47" s="309"/>
      <c r="J47" s="309"/>
      <c r="K47" s="309"/>
      <c r="L47" s="309"/>
      <c r="M47" s="309"/>
      <c r="N47" s="309"/>
      <c r="O47" s="306"/>
      <c r="P47" s="306"/>
      <c r="Q47" s="306"/>
      <c r="R47" s="232"/>
      <c r="S47" s="232"/>
    </row>
    <row r="48" spans="2:19" ht="12.5">
      <c r="B48" s="232"/>
      <c r="C48" s="311" t="s">
        <v>25</v>
      </c>
      <c r="D48" s="306"/>
      <c r="E48" s="306"/>
      <c r="F48" s="307">
        <f>F44-F45-F46-F47</f>
        <v>58147660.452088468</v>
      </c>
      <c r="G48" s="312"/>
      <c r="H48" s="306"/>
      <c r="I48" s="312"/>
      <c r="J48" s="312"/>
      <c r="K48" s="312"/>
      <c r="L48" s="312"/>
      <c r="M48" s="312"/>
      <c r="N48" s="312"/>
      <c r="O48" s="306"/>
      <c r="P48" s="312"/>
      <c r="Q48" s="306"/>
      <c r="R48" s="232"/>
      <c r="S48" s="232"/>
    </row>
    <row r="49" spans="2:19" ht="12.5">
      <c r="B49" s="232"/>
      <c r="C49" s="305"/>
      <c r="D49" s="306"/>
      <c r="E49" s="306"/>
      <c r="F49" s="298"/>
      <c r="G49" s="313"/>
      <c r="H49" s="314"/>
      <c r="I49" s="314"/>
      <c r="J49" s="314"/>
      <c r="K49" s="314"/>
      <c r="L49" s="314"/>
      <c r="M49" s="314"/>
      <c r="N49" s="314"/>
      <c r="O49" s="315"/>
      <c r="P49" s="314"/>
      <c r="Q49" s="316"/>
      <c r="R49" s="232"/>
      <c r="S49" s="232"/>
    </row>
    <row r="50" spans="2:19" ht="15.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313"/>
      <c r="H50" s="314"/>
      <c r="I50" s="314"/>
      <c r="J50" s="314"/>
      <c r="K50" s="314"/>
      <c r="L50" s="314"/>
      <c r="M50" s="314"/>
      <c r="N50" s="314"/>
      <c r="O50" s="315"/>
      <c r="P50" s="314"/>
      <c r="Q50" s="306"/>
    </row>
    <row r="51" spans="2:19" ht="12.5">
      <c r="B51" s="232"/>
      <c r="C51" s="305"/>
      <c r="D51" s="315"/>
      <c r="E51" s="315"/>
      <c r="F51" s="298"/>
      <c r="G51" s="313"/>
      <c r="H51" s="314"/>
      <c r="I51" s="314"/>
      <c r="J51" s="314"/>
      <c r="K51" s="314"/>
      <c r="L51" s="314"/>
      <c r="M51" s="314"/>
      <c r="N51" s="314"/>
      <c r="O51" s="315"/>
      <c r="P51" s="314"/>
      <c r="Q51" s="306"/>
    </row>
    <row r="52" spans="2:19" ht="13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58147660.452088468</v>
      </c>
      <c r="G52" s="306"/>
      <c r="H52" s="306"/>
      <c r="I52" s="306"/>
      <c r="J52" s="306"/>
      <c r="K52" s="306"/>
      <c r="L52" s="306"/>
      <c r="M52" s="306"/>
      <c r="N52" s="306"/>
      <c r="O52" s="317"/>
      <c r="P52" s="318"/>
      <c r="Q52" s="319"/>
    </row>
    <row r="53" spans="2:19" ht="13">
      <c r="B53" s="232"/>
      <c r="C53" s="253" t="s">
        <v>103</v>
      </c>
      <c r="D53" s="320"/>
      <c r="E53" s="311"/>
      <c r="F53" s="321">
        <f>E26</f>
        <v>52304389.199023008</v>
      </c>
      <c r="G53" s="311"/>
      <c r="H53" s="322"/>
      <c r="I53" s="311"/>
      <c r="J53" s="311"/>
      <c r="K53" s="311"/>
      <c r="L53" s="311"/>
      <c r="M53" s="311"/>
      <c r="N53" s="311"/>
      <c r="O53" s="311"/>
      <c r="P53" s="311"/>
      <c r="Q53" s="311"/>
    </row>
    <row r="54" spans="2:19" ht="12.75" customHeight="1">
      <c r="B54" s="232"/>
      <c r="C54" s="247" t="s">
        <v>26</v>
      </c>
      <c r="D54" s="306"/>
      <c r="E54" s="306"/>
      <c r="F54" s="323">
        <f>E37</f>
        <v>10192564.377477428</v>
      </c>
      <c r="G54" s="232"/>
      <c r="H54" s="241"/>
      <c r="I54" s="232"/>
      <c r="J54" s="242"/>
      <c r="K54" s="232"/>
      <c r="L54" s="232"/>
      <c r="M54" s="232"/>
      <c r="N54" s="232"/>
      <c r="O54" s="232"/>
      <c r="P54" s="232"/>
      <c r="Q54" s="232"/>
    </row>
    <row r="55" spans="2:19" ht="12.5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120644614.02858891</v>
      </c>
      <c r="G55" s="232"/>
      <c r="H55" s="241"/>
      <c r="I55" s="232"/>
      <c r="J55" s="242"/>
      <c r="K55" s="232"/>
      <c r="L55" s="232"/>
      <c r="M55" s="232"/>
      <c r="N55" s="232"/>
      <c r="O55" s="232"/>
      <c r="P55" s="232"/>
      <c r="Q55" s="232"/>
      <c r="R55" s="232"/>
      <c r="S55" s="232"/>
    </row>
    <row r="56" spans="2:19" ht="12.5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232"/>
      <c r="H56" s="241"/>
      <c r="I56" s="232"/>
      <c r="J56" s="242"/>
      <c r="K56" s="232"/>
      <c r="L56" s="232"/>
      <c r="M56" s="232"/>
      <c r="N56" s="232"/>
      <c r="O56" s="232"/>
      <c r="P56" s="232"/>
      <c r="Q56" s="232"/>
      <c r="R56" s="232"/>
      <c r="S56" s="232"/>
    </row>
    <row r="57" spans="2:19" ht="12.5">
      <c r="B57" s="232"/>
      <c r="C57" s="311" t="s">
        <v>27</v>
      </c>
      <c r="D57" s="240"/>
      <c r="E57" s="232"/>
      <c r="F57" s="327">
        <f>+F55+F56</f>
        <v>120644614.02858891</v>
      </c>
      <c r="G57" s="232"/>
      <c r="H57" s="241"/>
      <c r="I57" s="232"/>
      <c r="J57" s="242"/>
      <c r="K57" s="232"/>
      <c r="L57" s="232"/>
      <c r="M57" s="232"/>
      <c r="N57" s="232"/>
      <c r="O57" s="232"/>
      <c r="P57" s="232"/>
      <c r="Q57" s="232"/>
      <c r="R57" s="232"/>
      <c r="S57" s="232"/>
    </row>
    <row r="58" spans="2:19" ht="12.5">
      <c r="B58" s="232"/>
      <c r="C58" s="247" t="str">
        <f>+S121</f>
        <v xml:space="preserve">   Less: Depreciation  (TCOS, ln 86)</v>
      </c>
      <c r="D58" s="240"/>
      <c r="E58" s="232"/>
      <c r="F58" s="328">
        <f>+R121</f>
        <v>26280634.144685224</v>
      </c>
      <c r="G58" s="232"/>
      <c r="H58" s="241"/>
      <c r="I58" s="232"/>
      <c r="J58" s="242"/>
      <c r="K58" s="232"/>
      <c r="L58" s="232"/>
      <c r="M58" s="232"/>
      <c r="N58" s="232"/>
      <c r="O58" s="232"/>
      <c r="P58" s="232"/>
      <c r="Q58" s="232"/>
      <c r="R58" s="232"/>
      <c r="S58" s="232"/>
    </row>
    <row r="59" spans="2:19" ht="12.5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94363979.883903682</v>
      </c>
      <c r="G59" s="232"/>
      <c r="H59" s="241"/>
      <c r="I59" s="232"/>
      <c r="J59" s="242"/>
      <c r="K59" s="232"/>
      <c r="L59" s="232"/>
      <c r="M59" s="232"/>
      <c r="N59" s="232"/>
      <c r="O59" s="232"/>
      <c r="P59" s="232"/>
      <c r="Q59" s="232"/>
      <c r="R59" s="232"/>
      <c r="S59" s="232"/>
    </row>
    <row r="60" spans="2:19" ht="12.5">
      <c r="B60" s="232"/>
      <c r="C60" s="232"/>
      <c r="D60" s="240"/>
      <c r="E60" s="232"/>
      <c r="F60" s="232"/>
      <c r="G60" s="232"/>
      <c r="H60" s="241"/>
      <c r="I60" s="232"/>
      <c r="J60" s="242"/>
      <c r="K60" s="232"/>
      <c r="L60" s="232"/>
      <c r="M60" s="232"/>
      <c r="N60" s="232"/>
      <c r="O60" s="232"/>
      <c r="P60" s="232"/>
      <c r="Q60" s="232"/>
      <c r="R60" s="232"/>
      <c r="S60" s="232"/>
    </row>
    <row r="61" spans="2:19" ht="15.5">
      <c r="B61" s="329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29"/>
      <c r="H61" s="333"/>
      <c r="I61" s="329"/>
      <c r="J61" s="242"/>
      <c r="K61" s="232"/>
      <c r="L61" s="232"/>
      <c r="M61" s="232"/>
      <c r="N61" s="232"/>
      <c r="O61" s="232"/>
      <c r="P61" s="232"/>
      <c r="Q61" s="232"/>
      <c r="R61" s="232"/>
      <c r="S61" s="232"/>
    </row>
    <row r="62" spans="2:19" ht="12.5">
      <c r="B62" s="329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120644614.02858891</v>
      </c>
      <c r="G62" s="329"/>
      <c r="H62" s="333"/>
      <c r="I62" s="329"/>
      <c r="J62" s="242"/>
      <c r="K62" s="232"/>
      <c r="L62" s="232"/>
      <c r="M62" s="232"/>
      <c r="N62" s="232"/>
      <c r="O62" s="232"/>
      <c r="P62" s="232"/>
      <c r="Q62" s="232"/>
      <c r="R62" s="232"/>
      <c r="S62" s="232"/>
    </row>
    <row r="63" spans="2:19" ht="12.5">
      <c r="B63" s="329"/>
      <c r="C63" s="324" t="s">
        <v>28</v>
      </c>
      <c r="D63" s="331"/>
      <c r="E63" s="331"/>
      <c r="F63" s="332"/>
      <c r="G63" s="329"/>
      <c r="H63" s="333"/>
      <c r="I63" s="329"/>
      <c r="J63" s="24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2:19" ht="12.5">
      <c r="B64" s="329"/>
      <c r="C64" s="311" t="str">
        <f>+S122</f>
        <v xml:space="preserve">       Apportionment Factor to Texas (Worksheet K, ln 12)</v>
      </c>
      <c r="D64" s="295"/>
      <c r="E64" s="329"/>
      <c r="F64" s="334">
        <f>+R122</f>
        <v>0</v>
      </c>
      <c r="G64" s="329"/>
      <c r="H64" s="333"/>
      <c r="I64" s="329"/>
      <c r="J64" s="242"/>
      <c r="K64" s="232"/>
      <c r="L64" s="232"/>
      <c r="M64" s="232"/>
      <c r="N64" s="232"/>
      <c r="O64" s="232"/>
      <c r="P64" s="232"/>
      <c r="Q64" s="232"/>
      <c r="R64" s="232"/>
      <c r="S64" s="232"/>
    </row>
    <row r="65" spans="2:19" ht="12.5">
      <c r="B65" s="329"/>
      <c r="C65" s="311" t="s">
        <v>29</v>
      </c>
      <c r="D65" s="295"/>
      <c r="E65" s="329"/>
      <c r="F65" s="332">
        <f>+F62*F64</f>
        <v>0</v>
      </c>
      <c r="G65" s="329"/>
      <c r="H65" s="333"/>
      <c r="I65" s="329"/>
      <c r="J65" s="242"/>
      <c r="K65" s="232"/>
      <c r="L65" s="232"/>
      <c r="M65" s="232"/>
      <c r="N65" s="232"/>
      <c r="O65" s="232"/>
      <c r="P65" s="232"/>
      <c r="Q65" s="232"/>
      <c r="R65" s="232"/>
      <c r="S65" s="232"/>
    </row>
    <row r="66" spans="2:19" ht="12.5">
      <c r="B66" s="329"/>
      <c r="C66" s="311" t="s">
        <v>288</v>
      </c>
      <c r="D66" s="295"/>
      <c r="E66" s="329"/>
      <c r="F66" s="335">
        <v>0.22</v>
      </c>
      <c r="G66" s="329"/>
      <c r="H66" s="333"/>
      <c r="I66" s="329"/>
      <c r="J66" s="242"/>
      <c r="K66" s="232"/>
      <c r="L66" s="232"/>
      <c r="M66" s="232"/>
      <c r="N66" s="232"/>
      <c r="O66" s="232"/>
      <c r="P66" s="232"/>
      <c r="Q66" s="232"/>
      <c r="R66" s="232"/>
      <c r="S66" s="232"/>
    </row>
    <row r="67" spans="2:19" ht="12.5">
      <c r="B67" s="329"/>
      <c r="C67" s="311" t="s">
        <v>30</v>
      </c>
      <c r="D67" s="295"/>
      <c r="E67" s="329"/>
      <c r="F67" s="332">
        <f>+F65*F66</f>
        <v>0</v>
      </c>
      <c r="G67" s="329"/>
      <c r="H67" s="333"/>
      <c r="I67" s="329"/>
      <c r="J67" s="242"/>
      <c r="K67" s="232"/>
      <c r="L67" s="232"/>
      <c r="M67" s="232"/>
      <c r="N67" s="232"/>
      <c r="O67" s="232"/>
      <c r="P67" s="232"/>
      <c r="Q67" s="232"/>
      <c r="R67" s="232"/>
      <c r="S67" s="232"/>
    </row>
    <row r="68" spans="2:19" ht="12.5">
      <c r="B68" s="329"/>
      <c r="C68" s="311" t="s">
        <v>31</v>
      </c>
      <c r="D68" s="295"/>
      <c r="E68" s="329"/>
      <c r="F68" s="335">
        <v>0.01</v>
      </c>
      <c r="G68" s="329"/>
      <c r="H68" s="333"/>
      <c r="I68" s="329"/>
      <c r="J68" s="242"/>
      <c r="K68" s="232"/>
      <c r="L68" s="232"/>
      <c r="M68" s="232"/>
      <c r="N68" s="232"/>
      <c r="O68" s="232"/>
      <c r="P68" s="232"/>
      <c r="Q68" s="232"/>
      <c r="R68" s="232"/>
      <c r="S68" s="232"/>
    </row>
    <row r="69" spans="2:19" ht="12.5">
      <c r="B69" s="329"/>
      <c r="C69" s="311" t="s">
        <v>32</v>
      </c>
      <c r="D69" s="295"/>
      <c r="E69" s="329"/>
      <c r="F69" s="332">
        <f>+F67*F68</f>
        <v>0</v>
      </c>
      <c r="G69" s="329"/>
      <c r="H69" s="333"/>
      <c r="I69" s="329"/>
      <c r="J69" s="242"/>
      <c r="K69" s="232"/>
      <c r="L69" s="232"/>
      <c r="M69" s="232"/>
      <c r="N69" s="232"/>
      <c r="O69" s="232"/>
      <c r="P69" s="232"/>
      <c r="Q69" s="232"/>
      <c r="R69" s="232"/>
      <c r="S69" s="232"/>
    </row>
    <row r="70" spans="2:19" ht="12.5">
      <c r="B70" s="329"/>
      <c r="C70" s="311" t="s">
        <v>33</v>
      </c>
      <c r="D70" s="295"/>
      <c r="E70" s="329"/>
      <c r="F70" s="336">
        <f>+ROUND((F69*F66*F64)/(1-F68)*F68,0)</f>
        <v>0</v>
      </c>
      <c r="G70" s="329"/>
      <c r="H70" s="333"/>
      <c r="I70" s="329"/>
      <c r="J70" s="242"/>
      <c r="K70" s="232"/>
      <c r="L70" s="232"/>
      <c r="M70" s="232"/>
      <c r="N70" s="232"/>
      <c r="O70" s="232"/>
      <c r="P70" s="232"/>
      <c r="Q70" s="232"/>
      <c r="R70" s="232"/>
      <c r="S70" s="232"/>
    </row>
    <row r="71" spans="2:19" ht="12.5">
      <c r="B71" s="329"/>
      <c r="C71" s="311" t="s">
        <v>34</v>
      </c>
      <c r="D71" s="295"/>
      <c r="E71" s="329"/>
      <c r="F71" s="332">
        <f>+F69+F70</f>
        <v>0</v>
      </c>
      <c r="G71" s="329"/>
      <c r="H71" s="333"/>
      <c r="I71" s="329"/>
      <c r="J71" s="242"/>
      <c r="K71" s="232"/>
      <c r="L71" s="232"/>
      <c r="M71" s="232"/>
      <c r="N71" s="232"/>
      <c r="O71" s="232"/>
      <c r="P71" s="232"/>
      <c r="Q71" s="232"/>
      <c r="R71" s="232"/>
      <c r="S71" s="232"/>
    </row>
    <row r="72" spans="2:19" ht="12.5">
      <c r="B72" s="232"/>
      <c r="C72" s="232"/>
      <c r="D72" s="240"/>
      <c r="E72" s="232"/>
      <c r="F72" s="232"/>
      <c r="G72" s="232"/>
      <c r="H72" s="241"/>
      <c r="I72" s="232"/>
      <c r="J72" s="242"/>
      <c r="K72" s="232"/>
      <c r="L72" s="232"/>
      <c r="M72" s="232"/>
      <c r="N72" s="232"/>
      <c r="O72" s="232"/>
      <c r="P72" s="232"/>
      <c r="Q72" s="232"/>
      <c r="R72" s="232"/>
      <c r="S72" s="232"/>
    </row>
    <row r="73" spans="2:19" ht="15.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41"/>
      <c r="I73" s="232"/>
      <c r="J73" s="242"/>
      <c r="K73" s="232"/>
      <c r="L73" s="232"/>
      <c r="M73" s="232"/>
      <c r="N73" s="232"/>
      <c r="O73" s="232"/>
      <c r="P73" s="232"/>
      <c r="Q73" s="232"/>
      <c r="R73" s="232"/>
      <c r="S73" s="232"/>
    </row>
    <row r="74" spans="2:19" ht="12.5">
      <c r="B74" s="232"/>
      <c r="C74" s="232"/>
      <c r="D74" s="240"/>
      <c r="E74" s="232"/>
      <c r="F74" s="232"/>
      <c r="G74" s="232"/>
      <c r="H74" s="241"/>
      <c r="I74" s="232"/>
      <c r="J74" s="242"/>
      <c r="K74" s="232"/>
      <c r="L74" s="232"/>
      <c r="M74" s="232"/>
      <c r="N74" s="232"/>
      <c r="O74" s="232"/>
      <c r="P74" s="232"/>
      <c r="Q74" s="232"/>
      <c r="R74" s="232"/>
      <c r="S74" s="232"/>
    </row>
    <row r="75" spans="2:19" ht="12.5">
      <c r="B75" s="232"/>
      <c r="C75" s="247" t="str">
        <f>+S123</f>
        <v xml:space="preserve">   Net Transmission Plant  (TCOS, ln 37)</v>
      </c>
      <c r="D75" s="240"/>
      <c r="E75" s="232"/>
      <c r="F75" s="296">
        <f>+R123</f>
        <v>790589891.78982687</v>
      </c>
      <c r="G75" s="245"/>
      <c r="H75" s="216"/>
      <c r="J75" s="195"/>
      <c r="P75" s="232"/>
      <c r="Q75" s="232"/>
      <c r="R75" s="232"/>
      <c r="S75" s="232"/>
    </row>
    <row r="76" spans="2:19" ht="12.5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37">
        <f>F55</f>
        <v>120644614.02858891</v>
      </c>
      <c r="H76" s="216"/>
      <c r="J76" s="195"/>
      <c r="P76" s="232"/>
      <c r="Q76" s="232"/>
      <c r="R76" s="232"/>
      <c r="S76" s="232"/>
    </row>
    <row r="77" spans="2:19" ht="12.5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0.15260075455235075</v>
      </c>
      <c r="H77" s="216"/>
      <c r="J77" s="195"/>
      <c r="P77" s="232"/>
      <c r="Q77" s="232"/>
      <c r="R77" s="232"/>
      <c r="S77" s="232"/>
    </row>
    <row r="78" spans="2:19" ht="12.5">
      <c r="B78" s="232"/>
      <c r="D78" s="240"/>
      <c r="E78" s="232"/>
      <c r="F78" s="329"/>
      <c r="H78" s="216"/>
      <c r="J78" s="195"/>
      <c r="P78" s="232"/>
      <c r="Q78" s="232"/>
      <c r="R78" s="232"/>
      <c r="S78" s="232"/>
    </row>
    <row r="79" spans="2:19" ht="12.5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F59</f>
        <v>94363979.883903682</v>
      </c>
      <c r="G79" s="245"/>
      <c r="H79" s="216"/>
      <c r="J79" s="195"/>
      <c r="P79" s="232"/>
      <c r="Q79" s="232"/>
      <c r="R79" s="232"/>
      <c r="S79" s="232"/>
    </row>
    <row r="80" spans="2:19" ht="12.5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0.11935895065679607</v>
      </c>
      <c r="G80" s="338"/>
      <c r="H80" s="216"/>
      <c r="J80" s="195"/>
      <c r="P80" s="232"/>
      <c r="Q80" s="232"/>
      <c r="R80" s="232"/>
      <c r="S80" s="232"/>
    </row>
    <row r="81" spans="2:19" ht="12.5">
      <c r="B81" s="232"/>
      <c r="C81" s="247" t="str">
        <f>+S124</f>
        <v xml:space="preserve">   FCR less Depreciation  (TCOS, ln 10)</v>
      </c>
      <c r="D81" s="240"/>
      <c r="E81" s="232"/>
      <c r="F81" s="339">
        <f>+R124</f>
        <v>0.11935895065679607</v>
      </c>
      <c r="H81" s="216"/>
      <c r="J81" s="195"/>
      <c r="P81" s="232"/>
      <c r="Q81" s="232"/>
      <c r="R81" s="232"/>
      <c r="S81" s="232"/>
    </row>
    <row r="82" spans="2:19" ht="12.5">
      <c r="B82" s="232"/>
      <c r="C82" s="643" t="str">
        <f>"   Incremental FCR with "&amp;F13&amp;" Basis Point ROE increase, less Depreciation"</f>
        <v xml:space="preserve">   Incremental FCR with 0 Basis Point ROE increase, less Depreciation</v>
      </c>
      <c r="D82" s="644"/>
      <c r="E82" s="644"/>
      <c r="F82" s="338">
        <f>F80-F81</f>
        <v>0</v>
      </c>
      <c r="H82" s="216"/>
      <c r="J82" s="195"/>
      <c r="P82" s="232"/>
      <c r="Q82" s="232"/>
      <c r="R82" s="232"/>
      <c r="S82" s="232"/>
    </row>
    <row r="83" spans="2:19" ht="12.5">
      <c r="B83" s="232"/>
      <c r="C83" s="644"/>
      <c r="D83" s="644"/>
      <c r="E83" s="644"/>
      <c r="F83" s="338"/>
      <c r="G83" s="232"/>
      <c r="H83" s="241"/>
      <c r="I83" s="232"/>
      <c r="J83" s="242"/>
      <c r="K83" s="232"/>
      <c r="L83" s="232"/>
      <c r="M83" s="232"/>
      <c r="N83" s="232"/>
      <c r="O83" s="232"/>
      <c r="P83" s="232"/>
      <c r="Q83" s="232"/>
      <c r="R83" s="232"/>
      <c r="S83" s="232"/>
    </row>
    <row r="84" spans="2:19" ht="18">
      <c r="B84" s="302" t="s">
        <v>35</v>
      </c>
      <c r="C84" s="303" t="s">
        <v>36</v>
      </c>
      <c r="D84" s="240"/>
      <c r="E84" s="232"/>
      <c r="F84" s="338"/>
      <c r="G84" s="232"/>
      <c r="H84" s="241"/>
      <c r="I84" s="232"/>
      <c r="J84" s="242"/>
      <c r="K84" s="232"/>
      <c r="L84" s="232"/>
      <c r="M84" s="232"/>
      <c r="N84" s="232"/>
      <c r="O84" s="232"/>
      <c r="P84" s="232"/>
      <c r="Q84" s="232"/>
      <c r="R84" s="232"/>
      <c r="S84" s="232"/>
    </row>
    <row r="85" spans="2:19" ht="12.75" customHeight="1">
      <c r="B85" s="302"/>
      <c r="C85" s="303"/>
      <c r="D85" s="240"/>
      <c r="E85" s="232"/>
      <c r="F85" s="338"/>
      <c r="G85" s="232"/>
      <c r="H85" s="241"/>
      <c r="I85" s="232"/>
      <c r="J85" s="242"/>
      <c r="K85" s="232"/>
      <c r="L85" s="232"/>
      <c r="M85" s="232"/>
      <c r="N85" s="232"/>
      <c r="O85" s="232"/>
      <c r="P85" s="232"/>
      <c r="Q85" s="232"/>
      <c r="R85" s="232"/>
      <c r="S85" s="232"/>
    </row>
    <row r="86" spans="2:19" ht="12.75" customHeight="1">
      <c r="B86" s="302"/>
      <c r="C86" s="311" t="s">
        <v>37</v>
      </c>
      <c r="D86" s="240"/>
      <c r="F86" s="333">
        <f>+R125</f>
        <v>1191488466.2871001</v>
      </c>
      <c r="G86" s="232" t="s">
        <v>283</v>
      </c>
      <c r="H86" s="241"/>
      <c r="I86" s="232"/>
      <c r="J86" s="242"/>
      <c r="K86" s="232"/>
      <c r="L86" s="232"/>
      <c r="M86" s="232"/>
      <c r="N86" s="232"/>
      <c r="O86" s="232"/>
      <c r="P86" s="232"/>
      <c r="Q86" s="232"/>
      <c r="R86" s="232"/>
      <c r="S86" s="232"/>
    </row>
    <row r="87" spans="2:19" ht="12.75" customHeight="1">
      <c r="B87" s="302"/>
      <c r="C87" s="311" t="s">
        <v>38</v>
      </c>
      <c r="D87" s="240"/>
      <c r="F87" s="340">
        <f>R126</f>
        <v>1249484731.0689299</v>
      </c>
      <c r="G87" s="232" t="s">
        <v>283</v>
      </c>
      <c r="H87" s="241"/>
      <c r="I87" s="232"/>
      <c r="J87" s="242"/>
      <c r="K87" s="232"/>
      <c r="L87" s="232"/>
      <c r="M87" s="232"/>
      <c r="N87" s="232"/>
      <c r="O87" s="232"/>
      <c r="P87" s="232"/>
      <c r="Q87" s="232"/>
      <c r="R87" s="232"/>
      <c r="S87" s="232"/>
    </row>
    <row r="88" spans="2:19" ht="12.5">
      <c r="B88" s="232"/>
      <c r="C88" s="311"/>
      <c r="D88" s="240"/>
      <c r="F88" s="241">
        <f>+F87+F86</f>
        <v>2440973197.35603</v>
      </c>
      <c r="G88" s="296"/>
      <c r="H88" s="241"/>
      <c r="I88" s="232"/>
      <c r="J88" s="242"/>
      <c r="K88" s="232"/>
      <c r="L88" s="232"/>
      <c r="M88" s="232"/>
      <c r="N88" s="232"/>
      <c r="O88" s="232"/>
      <c r="P88" s="232"/>
      <c r="Q88" s="232"/>
      <c r="R88" s="232"/>
      <c r="S88" s="232"/>
    </row>
    <row r="89" spans="2:19" ht="12.5">
      <c r="B89" s="232"/>
      <c r="C89" s="311" t="str">
        <f>S127</f>
        <v>Transmission Plant Average Balance for 2022 (WS A-1 Ln 14 Col (d))</v>
      </c>
      <c r="D89" s="295"/>
      <c r="E89" s="155"/>
      <c r="F89" s="322">
        <f>+F88/2</f>
        <v>1220486598.678015</v>
      </c>
      <c r="G89" s="341"/>
      <c r="H89" s="241"/>
      <c r="I89" s="232"/>
      <c r="J89" s="242"/>
      <c r="K89" s="232"/>
      <c r="L89" s="232"/>
      <c r="M89" s="232"/>
      <c r="N89" s="232"/>
      <c r="O89" s="232"/>
      <c r="P89" s="232"/>
      <c r="Q89" s="232"/>
      <c r="R89" s="232"/>
      <c r="S89" s="232"/>
    </row>
    <row r="90" spans="2:19" ht="12.5">
      <c r="B90" s="232"/>
      <c r="C90" s="247" t="str">
        <f>S128</f>
        <v>Annual Depreciation Expense  (TCOS, ln 86)</v>
      </c>
      <c r="D90" s="295"/>
      <c r="E90" s="329"/>
      <c r="F90" s="322">
        <f>R128</f>
        <v>31276848.736637831</v>
      </c>
      <c r="G90" s="232"/>
      <c r="H90" s="241"/>
      <c r="I90" s="232"/>
      <c r="J90" s="242"/>
      <c r="K90" s="232"/>
      <c r="L90" s="232"/>
      <c r="M90" s="232"/>
      <c r="N90" s="232"/>
      <c r="O90" s="232"/>
      <c r="P90" s="232"/>
      <c r="Q90" s="232"/>
      <c r="R90" s="232"/>
      <c r="S90" s="232"/>
    </row>
    <row r="91" spans="2:19" ht="12.5">
      <c r="B91" s="232"/>
      <c r="C91" s="311" t="s">
        <v>39</v>
      </c>
      <c r="D91" s="240"/>
      <c r="E91" s="232"/>
      <c r="F91" s="338">
        <f>IF(F89=0,0,F90/F89)</f>
        <v>2.5626540078781474E-2</v>
      </c>
      <c r="G91" s="232"/>
      <c r="H91" s="342"/>
      <c r="I91" s="232"/>
      <c r="J91" s="242"/>
      <c r="K91" s="232"/>
      <c r="L91" s="232"/>
      <c r="M91" s="232"/>
      <c r="N91" s="232"/>
      <c r="O91" s="232"/>
      <c r="P91" s="232"/>
      <c r="Q91" s="232"/>
      <c r="R91" s="232"/>
      <c r="S91" s="232"/>
    </row>
    <row r="92" spans="2:19" ht="12.5">
      <c r="B92" s="232"/>
      <c r="C92" s="311" t="s">
        <v>40</v>
      </c>
      <c r="D92" s="240"/>
      <c r="E92" s="232"/>
      <c r="F92" s="343">
        <f>IF(F91=0,0,1/F91)</f>
        <v>39.02204499420467</v>
      </c>
      <c r="H92" s="241"/>
      <c r="I92" s="232"/>
      <c r="J92" s="242"/>
      <c r="K92" s="232"/>
      <c r="L92" s="232"/>
      <c r="M92" s="232"/>
      <c r="N92" s="232"/>
      <c r="O92" s="232"/>
      <c r="P92" s="232"/>
      <c r="Q92" s="232"/>
      <c r="R92" s="232"/>
      <c r="S92" s="232"/>
    </row>
    <row r="93" spans="2:19" ht="12.5">
      <c r="B93" s="232"/>
      <c r="C93" s="311" t="s">
        <v>41</v>
      </c>
      <c r="D93" s="240"/>
      <c r="E93" s="232"/>
      <c r="F93" s="344">
        <f>ROUND(F92,0)</f>
        <v>39</v>
      </c>
      <c r="G93" s="232"/>
      <c r="H93" s="241"/>
      <c r="I93" s="232"/>
      <c r="J93" s="242"/>
      <c r="K93" s="232"/>
      <c r="L93" s="232"/>
      <c r="M93" s="232"/>
      <c r="N93" s="232"/>
      <c r="O93" s="232"/>
      <c r="P93" s="232"/>
      <c r="Q93" s="232"/>
      <c r="R93" s="232"/>
      <c r="S93" s="232"/>
    </row>
    <row r="94" spans="2:19" ht="12.5">
      <c r="C94" s="345"/>
      <c r="D94" s="346"/>
      <c r="E94" s="346"/>
      <c r="F94" s="346"/>
      <c r="G94" s="347"/>
      <c r="H94" s="347"/>
      <c r="I94" s="348"/>
      <c r="J94" s="348"/>
      <c r="K94" s="348"/>
      <c r="L94" s="348"/>
      <c r="M94" s="348"/>
      <c r="N94" s="348"/>
      <c r="O94" s="242"/>
      <c r="P94" s="242"/>
      <c r="Q94" s="232"/>
      <c r="R94" s="232"/>
      <c r="S94" s="232"/>
    </row>
    <row r="95" spans="2:19" ht="12.5">
      <c r="C95" s="345"/>
      <c r="D95" s="346"/>
      <c r="E95" s="346"/>
      <c r="F95" s="346"/>
      <c r="G95" s="347"/>
      <c r="H95" s="347"/>
      <c r="I95" s="348"/>
      <c r="J95" s="348"/>
      <c r="K95" s="348"/>
      <c r="L95" s="348"/>
      <c r="M95" s="348"/>
      <c r="N95" s="348"/>
      <c r="O95" s="242"/>
      <c r="P95" s="242"/>
      <c r="Q95" s="232"/>
      <c r="R95" s="232"/>
      <c r="S95" s="232"/>
    </row>
    <row r="96" spans="2:19" ht="12.5">
      <c r="J96" s="195"/>
      <c r="P96" s="232"/>
      <c r="Q96" s="232"/>
      <c r="R96" s="232"/>
      <c r="S96" s="232"/>
    </row>
    <row r="97" spans="3:19" ht="13">
      <c r="J97" s="195"/>
      <c r="P97" s="232"/>
      <c r="Q97" s="232"/>
      <c r="R97" s="349" t="s">
        <v>126</v>
      </c>
      <c r="S97" s="148" t="s">
        <v>127</v>
      </c>
    </row>
    <row r="98" spans="3:19" ht="12.5">
      <c r="J98" s="195"/>
      <c r="P98" s="232"/>
      <c r="Q98" s="232"/>
    </row>
    <row r="99" spans="3:19" ht="13">
      <c r="C99" s="239" t="s">
        <v>122</v>
      </c>
      <c r="J99" s="195"/>
      <c r="L99" s="239" t="s">
        <v>121</v>
      </c>
      <c r="P99" s="232"/>
      <c r="Q99" s="232"/>
    </row>
    <row r="100" spans="3:19" ht="12.5">
      <c r="J100" s="195"/>
      <c r="P100" s="232"/>
      <c r="Q100" s="232"/>
      <c r="S100" s="233" t="s">
        <v>119</v>
      </c>
    </row>
    <row r="101" spans="3:19" ht="13">
      <c r="J101" s="195"/>
      <c r="P101" s="232"/>
      <c r="Q101" s="232"/>
      <c r="R101" s="349" t="s">
        <v>115</v>
      </c>
      <c r="S101" s="203" t="s">
        <v>120</v>
      </c>
    </row>
    <row r="102" spans="3:19" ht="13.5" thickBot="1">
      <c r="J102" s="195"/>
      <c r="P102" s="232"/>
      <c r="Q102" s="232"/>
      <c r="R102" s="350" t="s">
        <v>142</v>
      </c>
    </row>
    <row r="103" spans="3:19" ht="12.5">
      <c r="J103" s="195"/>
      <c r="P103" s="232"/>
      <c r="Q103" s="232"/>
      <c r="R103" s="351" t="s">
        <v>289</v>
      </c>
      <c r="S103" s="352" t="s">
        <v>143</v>
      </c>
    </row>
    <row r="104" spans="3:19" ht="12.5">
      <c r="J104" s="195"/>
      <c r="P104" s="232"/>
      <c r="Q104" s="232"/>
      <c r="R104" s="353">
        <v>2023</v>
      </c>
      <c r="S104" s="354" t="s">
        <v>355</v>
      </c>
    </row>
    <row r="105" spans="3:19" ht="12.5">
      <c r="J105" s="195"/>
      <c r="P105" s="232"/>
      <c r="Q105" s="232"/>
      <c r="R105" s="355">
        <v>0.105</v>
      </c>
      <c r="S105" s="354" t="s">
        <v>356</v>
      </c>
    </row>
    <row r="106" spans="3:19" ht="12.5">
      <c r="J106" s="195"/>
      <c r="P106" s="232"/>
      <c r="Q106" s="232"/>
      <c r="R106" s="356">
        <v>0</v>
      </c>
      <c r="S106" s="354" t="s">
        <v>1</v>
      </c>
    </row>
    <row r="107" spans="3:19" ht="12.5">
      <c r="J107" s="195"/>
      <c r="P107" s="232"/>
      <c r="Q107" s="232"/>
      <c r="R107" s="357">
        <v>0.44351731865779193</v>
      </c>
      <c r="S107" s="358" t="s">
        <v>109</v>
      </c>
    </row>
    <row r="108" spans="3:19" ht="12.5">
      <c r="J108" s="195"/>
      <c r="P108" s="232"/>
      <c r="Q108" s="232"/>
      <c r="R108" s="357">
        <v>3.8900194800400766E-2</v>
      </c>
      <c r="S108" s="358" t="s">
        <v>110</v>
      </c>
    </row>
    <row r="109" spans="3:19" ht="12.5">
      <c r="J109" s="195"/>
      <c r="P109" s="232"/>
      <c r="Q109" s="232"/>
      <c r="R109" s="357">
        <v>0</v>
      </c>
      <c r="S109" s="358" t="s">
        <v>111</v>
      </c>
    </row>
    <row r="110" spans="3:19" ht="12.5">
      <c r="J110" s="195"/>
      <c r="P110" s="232"/>
      <c r="Q110" s="232"/>
      <c r="R110" s="357">
        <v>0</v>
      </c>
      <c r="S110" s="358" t="s">
        <v>112</v>
      </c>
    </row>
    <row r="111" spans="3:19" ht="12.5">
      <c r="J111" s="195"/>
      <c r="P111" s="232"/>
      <c r="Q111" s="232"/>
      <c r="R111" s="357">
        <v>0.55648268134220802</v>
      </c>
      <c r="S111" s="359" t="s">
        <v>113</v>
      </c>
    </row>
    <row r="112" spans="3:19" ht="12.5">
      <c r="J112" s="195"/>
      <c r="P112" s="232"/>
      <c r="Q112" s="232"/>
      <c r="R112" s="360">
        <v>691092852.09287727</v>
      </c>
      <c r="S112" s="361" t="s">
        <v>357</v>
      </c>
    </row>
    <row r="113" spans="3:19" ht="12.5">
      <c r="J113" s="195"/>
      <c r="P113" s="232"/>
      <c r="Q113" s="232"/>
      <c r="R113" s="362">
        <v>0.24025699999999994</v>
      </c>
      <c r="S113" s="363" t="s">
        <v>358</v>
      </c>
    </row>
    <row r="114" spans="3:19" ht="12.5">
      <c r="J114" s="195"/>
      <c r="P114" s="232"/>
      <c r="Q114" s="232"/>
      <c r="R114" s="360">
        <v>-307552.43396744458</v>
      </c>
      <c r="S114" s="363" t="s">
        <v>359</v>
      </c>
    </row>
    <row r="115" spans="3:19" ht="12.5">
      <c r="J115" s="195"/>
      <c r="P115" s="232"/>
      <c r="Q115" s="232"/>
      <c r="R115" s="360">
        <v>-2340629.3213634901</v>
      </c>
      <c r="S115" s="363" t="s">
        <v>324</v>
      </c>
    </row>
    <row r="116" spans="3:19" ht="12.5">
      <c r="J116" s="195"/>
      <c r="P116" s="232"/>
      <c r="Q116" s="232"/>
      <c r="R116" s="360">
        <v>70869.675666639887</v>
      </c>
      <c r="S116" s="363" t="s">
        <v>360</v>
      </c>
    </row>
    <row r="117" spans="3:19" ht="12.5">
      <c r="C117" s="232"/>
      <c r="D117" s="240"/>
      <c r="E117" s="232"/>
      <c r="F117" s="232"/>
      <c r="G117" s="232"/>
      <c r="H117" s="241"/>
      <c r="I117" s="232"/>
      <c r="J117" s="242"/>
      <c r="K117" s="232"/>
      <c r="L117" s="232"/>
      <c r="M117" s="232"/>
      <c r="N117" s="232"/>
      <c r="O117" s="232"/>
      <c r="P117" s="232"/>
      <c r="Q117" s="232"/>
      <c r="R117" s="360">
        <v>120644614.02858891</v>
      </c>
      <c r="S117" s="363" t="s">
        <v>361</v>
      </c>
    </row>
    <row r="118" spans="3:19" ht="12.5">
      <c r="C118" s="232"/>
      <c r="D118" s="240"/>
      <c r="E118" s="232"/>
      <c r="F118" s="232"/>
      <c r="G118" s="232"/>
      <c r="H118" s="241"/>
      <c r="I118" s="232"/>
      <c r="J118" s="242"/>
      <c r="K118" s="232"/>
      <c r="L118" s="232"/>
      <c r="M118" s="232"/>
      <c r="N118" s="232"/>
      <c r="O118" s="232"/>
      <c r="P118" s="232"/>
      <c r="Q118" s="232"/>
      <c r="R118" s="360">
        <v>52304389.199023008</v>
      </c>
      <c r="S118" s="363" t="s">
        <v>362</v>
      </c>
    </row>
    <row r="119" spans="3:19" ht="12.5">
      <c r="C119" s="232"/>
      <c r="D119" s="240"/>
      <c r="E119" s="232"/>
      <c r="F119" s="232"/>
      <c r="G119" s="232"/>
      <c r="H119" s="241"/>
      <c r="I119" s="232"/>
      <c r="J119" s="242"/>
      <c r="K119" s="232"/>
      <c r="L119" s="232"/>
      <c r="M119" s="232"/>
      <c r="N119" s="232"/>
      <c r="O119" s="232"/>
      <c r="P119" s="232"/>
      <c r="Q119" s="232"/>
      <c r="R119" s="360">
        <v>10192564.377477428</v>
      </c>
      <c r="S119" s="363" t="s">
        <v>363</v>
      </c>
    </row>
    <row r="120" spans="3:19" ht="12.5">
      <c r="C120" s="232"/>
      <c r="D120" s="240"/>
      <c r="E120" s="232"/>
      <c r="F120" s="232"/>
      <c r="G120" s="232"/>
      <c r="H120" s="241"/>
      <c r="I120" s="232"/>
      <c r="J120" s="242"/>
      <c r="K120" s="232"/>
      <c r="L120" s="232"/>
      <c r="M120" s="232"/>
      <c r="N120" s="232"/>
      <c r="O120" s="232"/>
      <c r="P120" s="232"/>
      <c r="Q120" s="232"/>
      <c r="R120" s="360">
        <v>0</v>
      </c>
      <c r="S120" s="363" t="s">
        <v>364</v>
      </c>
    </row>
    <row r="121" spans="3:19" ht="12.5">
      <c r="C121" s="232"/>
      <c r="D121" s="240"/>
      <c r="E121" s="232"/>
      <c r="F121" s="232"/>
      <c r="G121" s="232"/>
      <c r="H121" s="241"/>
      <c r="I121" s="232"/>
      <c r="J121" s="242"/>
      <c r="K121" s="232"/>
      <c r="L121" s="232"/>
      <c r="M121" s="232"/>
      <c r="N121" s="232"/>
      <c r="O121" s="232"/>
      <c r="P121" s="232"/>
      <c r="Q121" s="232"/>
      <c r="R121" s="360">
        <v>26280634.144685224</v>
      </c>
      <c r="S121" s="363" t="s">
        <v>365</v>
      </c>
    </row>
    <row r="122" spans="3:19" ht="12.5">
      <c r="C122" s="232"/>
      <c r="D122" s="240"/>
      <c r="E122" s="232"/>
      <c r="F122" s="232"/>
      <c r="G122" s="232"/>
      <c r="H122" s="241"/>
      <c r="I122" s="232"/>
      <c r="J122" s="242"/>
      <c r="K122" s="232"/>
      <c r="L122" s="232"/>
      <c r="M122" s="232"/>
      <c r="N122" s="232"/>
      <c r="O122" s="232"/>
      <c r="P122" s="232"/>
      <c r="Q122" s="232"/>
      <c r="R122" s="362">
        <v>0</v>
      </c>
      <c r="S122" s="363" t="s">
        <v>118</v>
      </c>
    </row>
    <row r="123" spans="3:19" ht="12.5">
      <c r="C123" s="232"/>
      <c r="D123" s="240"/>
      <c r="E123" s="232"/>
      <c r="F123" s="232"/>
      <c r="G123" s="232"/>
      <c r="H123" s="241"/>
      <c r="I123" s="232"/>
      <c r="J123" s="242"/>
      <c r="K123" s="232"/>
      <c r="L123" s="232"/>
      <c r="M123" s="232"/>
      <c r="N123" s="232"/>
      <c r="O123" s="232"/>
      <c r="P123" s="232"/>
      <c r="Q123" s="232"/>
      <c r="R123" s="360">
        <v>790589891.78982687</v>
      </c>
      <c r="S123" s="363" t="s">
        <v>329</v>
      </c>
    </row>
    <row r="124" spans="3:19" ht="12.5">
      <c r="C124" s="232"/>
      <c r="D124" s="240"/>
      <c r="E124" s="232"/>
      <c r="F124" s="232"/>
      <c r="G124" s="232"/>
      <c r="H124" s="241"/>
      <c r="I124" s="232"/>
      <c r="J124" s="242"/>
      <c r="K124" s="232"/>
      <c r="L124" s="232"/>
      <c r="M124" s="232"/>
      <c r="N124" s="232"/>
      <c r="O124" s="232"/>
      <c r="P124" s="232"/>
      <c r="Q124" s="232"/>
      <c r="R124" s="364">
        <v>0.11935895065679607</v>
      </c>
      <c r="S124" s="365" t="s">
        <v>366</v>
      </c>
    </row>
    <row r="125" spans="3:19" ht="12.5">
      <c r="C125" s="232"/>
      <c r="D125" s="240"/>
      <c r="E125" s="232"/>
      <c r="F125" s="232"/>
      <c r="G125" s="232"/>
      <c r="H125" s="241"/>
      <c r="I125" s="232"/>
      <c r="J125" s="242"/>
      <c r="K125" s="232"/>
      <c r="L125" s="232"/>
      <c r="M125" s="232"/>
      <c r="N125" s="232"/>
      <c r="O125" s="232"/>
      <c r="P125" s="232"/>
      <c r="Q125" s="232"/>
      <c r="R125" s="366">
        <v>1191488466.2871001</v>
      </c>
      <c r="S125" s="358" t="s">
        <v>37</v>
      </c>
    </row>
    <row r="126" spans="3:19" ht="12.5">
      <c r="C126" s="232"/>
      <c r="D126" s="240"/>
      <c r="E126" s="232"/>
      <c r="F126" s="232"/>
      <c r="G126" s="232"/>
      <c r="H126" s="241"/>
      <c r="I126" s="232"/>
      <c r="J126" s="242"/>
      <c r="K126" s="232"/>
      <c r="L126" s="232"/>
      <c r="M126" s="232"/>
      <c r="N126" s="232"/>
      <c r="O126" s="232"/>
      <c r="P126" s="232"/>
      <c r="Q126" s="232"/>
      <c r="R126" s="366">
        <v>1249484731.0689299</v>
      </c>
      <c r="S126" s="359" t="s">
        <v>38</v>
      </c>
    </row>
    <row r="127" spans="3:19" ht="12.5">
      <c r="C127" s="232"/>
      <c r="D127" s="240"/>
      <c r="E127" s="232"/>
      <c r="F127" s="232"/>
      <c r="G127" s="232"/>
      <c r="H127" s="241"/>
      <c r="I127" s="232"/>
      <c r="J127" s="242"/>
      <c r="K127" s="232"/>
      <c r="L127" s="232"/>
      <c r="M127" s="232"/>
      <c r="N127" s="232"/>
      <c r="O127" s="232"/>
      <c r="P127" s="232"/>
      <c r="Q127" s="232"/>
      <c r="R127" s="366">
        <v>1212403959.7864423</v>
      </c>
      <c r="S127" s="367" t="s">
        <v>380</v>
      </c>
    </row>
    <row r="128" spans="3:19" ht="13" thickBot="1">
      <c r="C128" s="232"/>
      <c r="D128" s="240"/>
      <c r="E128" s="232"/>
      <c r="F128" s="232"/>
      <c r="G128" s="232"/>
      <c r="H128" s="241"/>
      <c r="I128" s="232"/>
      <c r="J128" s="242"/>
      <c r="K128" s="232"/>
      <c r="L128" s="232"/>
      <c r="M128" s="232"/>
      <c r="N128" s="232"/>
      <c r="O128" s="232"/>
      <c r="P128" s="232"/>
      <c r="Q128" s="232"/>
      <c r="R128" s="368">
        <v>31276848.736637831</v>
      </c>
      <c r="S128" s="369" t="s">
        <v>367</v>
      </c>
    </row>
    <row r="129" spans="3:19" ht="12.5">
      <c r="C129" s="232"/>
      <c r="D129" s="240"/>
      <c r="E129" s="232"/>
      <c r="F129" s="232"/>
      <c r="G129" s="232"/>
      <c r="H129" s="241"/>
      <c r="I129" s="232"/>
      <c r="J129" s="242"/>
      <c r="K129" s="232"/>
      <c r="L129" s="232"/>
      <c r="M129" s="232"/>
      <c r="N129" s="232"/>
      <c r="O129" s="232"/>
      <c r="P129" s="232"/>
      <c r="Q129" s="232"/>
      <c r="R129" s="232"/>
      <c r="S129" s="232"/>
    </row>
    <row r="130" spans="3:19" ht="13">
      <c r="C130" s="232"/>
      <c r="D130" s="240"/>
      <c r="E130" s="232"/>
      <c r="F130" s="232"/>
      <c r="G130" s="232"/>
      <c r="H130" s="241"/>
      <c r="I130" s="232"/>
      <c r="J130" s="242"/>
      <c r="K130" s="232"/>
      <c r="L130" s="232"/>
      <c r="M130" s="232"/>
      <c r="N130" s="232"/>
      <c r="O130" s="232"/>
      <c r="P130" s="232"/>
      <c r="Q130" s="232"/>
      <c r="R130" s="349" t="s">
        <v>116</v>
      </c>
      <c r="S130" s="232" t="s">
        <v>130</v>
      </c>
    </row>
    <row r="131" spans="3:19" ht="13.5" thickBot="1">
      <c r="C131" s="311"/>
      <c r="D131" s="320"/>
      <c r="E131" s="311"/>
      <c r="F131" s="311"/>
      <c r="G131" s="311"/>
      <c r="H131" s="322"/>
      <c r="I131" s="232"/>
      <c r="J131" s="242"/>
      <c r="K131" s="232"/>
      <c r="L131" s="232"/>
      <c r="M131" s="232"/>
      <c r="N131" s="232"/>
      <c r="O131" s="232"/>
      <c r="P131" s="232"/>
      <c r="Q131" s="232"/>
      <c r="R131" s="350" t="s">
        <v>114</v>
      </c>
      <c r="S131" s="232"/>
    </row>
    <row r="132" spans="3:19" ht="12.5">
      <c r="C132" s="311"/>
      <c r="D132" s="320"/>
      <c r="E132" s="311"/>
      <c r="F132" s="311"/>
      <c r="G132" s="311"/>
      <c r="H132" s="322"/>
      <c r="I132" s="232"/>
      <c r="J132" s="242"/>
      <c r="K132" s="232"/>
      <c r="L132" s="232"/>
      <c r="M132" s="232"/>
      <c r="N132" s="232"/>
      <c r="O132" s="232"/>
      <c r="P132" s="232"/>
      <c r="Q132" s="232"/>
      <c r="R132" s="370">
        <f>+M19</f>
        <v>8837545.4268044475</v>
      </c>
      <c r="S132" s="232" t="str">
        <f>+K19&amp;" "&amp;M17</f>
        <v>PROJECTED YEAR Rev Require</v>
      </c>
    </row>
    <row r="133" spans="3:19" ht="12.5">
      <c r="C133" s="311"/>
      <c r="D133" s="320"/>
      <c r="E133" s="311"/>
      <c r="F133" s="311"/>
      <c r="G133" s="311"/>
      <c r="H133" s="322"/>
      <c r="I133" s="232"/>
      <c r="J133" s="242"/>
      <c r="K133" s="232"/>
      <c r="L133" s="232"/>
      <c r="M133" s="232"/>
      <c r="N133" s="232"/>
      <c r="O133" s="232"/>
      <c r="P133" s="232"/>
      <c r="Q133" s="232"/>
      <c r="R133" s="371">
        <f>+N19</f>
        <v>8837545.4268044475</v>
      </c>
      <c r="S133" s="232" t="str">
        <f>K19&amp;" "&amp;N17</f>
        <v>PROJECTED YEAR  W Incentives</v>
      </c>
    </row>
    <row r="134" spans="3:19" ht="13" thickBot="1">
      <c r="C134" s="311"/>
      <c r="D134" s="320"/>
      <c r="E134" s="311"/>
      <c r="F134" s="311"/>
      <c r="G134" s="311"/>
      <c r="H134" s="322"/>
      <c r="I134" s="232"/>
      <c r="J134" s="242"/>
      <c r="K134" s="232"/>
      <c r="L134" s="232"/>
      <c r="M134" s="232"/>
      <c r="N134" s="232"/>
      <c r="O134" s="232"/>
      <c r="P134" s="232"/>
      <c r="Q134" s="232"/>
      <c r="R134" s="372">
        <f>+O19</f>
        <v>0</v>
      </c>
      <c r="S134" s="232" t="str">
        <f>K19&amp;" "&amp;O17</f>
        <v>PROJECTED YEAR Incentive Amounts</v>
      </c>
    </row>
    <row r="135" spans="3:19" ht="12.5">
      <c r="C135" s="311"/>
      <c r="D135" s="320"/>
      <c r="E135" s="311"/>
      <c r="F135" s="311"/>
      <c r="G135" s="311"/>
      <c r="H135" s="322"/>
      <c r="I135" s="232"/>
      <c r="J135" s="242"/>
      <c r="K135" s="232"/>
      <c r="L135" s="232"/>
      <c r="M135" s="232"/>
      <c r="N135" s="232"/>
      <c r="O135" s="232"/>
      <c r="P135" s="232"/>
      <c r="Q135" s="232"/>
      <c r="R135" s="232"/>
      <c r="S135" s="232"/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6"/>
  <dimension ref="A1:P162"/>
  <sheetViews>
    <sheetView view="pageBreakPreview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17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207843.2094871795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207843.2094871795</v>
      </c>
      <c r="O6" s="232"/>
      <c r="P6" s="232"/>
    </row>
    <row r="7" spans="1:16" ht="13.5" thickBot="1">
      <c r="C7" s="431" t="s">
        <v>46</v>
      </c>
      <c r="D7" s="599" t="s">
        <v>265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290</v>
      </c>
      <c r="E9" s="577" t="s">
        <v>291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1692023.1700000002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2015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43385.209487179491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2015</v>
      </c>
      <c r="D17" s="584">
        <v>1500000</v>
      </c>
      <c r="E17" s="608">
        <v>0</v>
      </c>
      <c r="F17" s="584">
        <v>1500000</v>
      </c>
      <c r="G17" s="608">
        <v>206807.48514960654</v>
      </c>
      <c r="H17" s="587">
        <v>206807.48514960654</v>
      </c>
      <c r="I17" s="475">
        <v>0</v>
      </c>
      <c r="J17" s="475"/>
      <c r="K17" s="476">
        <f t="shared" ref="K17:K22" si="0">G17</f>
        <v>206807.48514960654</v>
      </c>
      <c r="L17" s="603">
        <f t="shared" ref="L17:L22" si="1">IF(K17&lt;&gt;0,+G17-K17,0)</f>
        <v>0</v>
      </c>
      <c r="M17" s="476">
        <f t="shared" ref="M17:M22" si="2">H17</f>
        <v>206807.48514960654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2016</v>
      </c>
      <c r="D18" s="584">
        <v>1777912</v>
      </c>
      <c r="E18" s="585">
        <v>34190.615384615383</v>
      </c>
      <c r="F18" s="584">
        <v>1743721.3846153845</v>
      </c>
      <c r="G18" s="585">
        <v>262896.61538461538</v>
      </c>
      <c r="H18" s="587">
        <v>262896.61538461538</v>
      </c>
      <c r="I18" s="475">
        <f>H18-G18</f>
        <v>0</v>
      </c>
      <c r="J18" s="475"/>
      <c r="K18" s="476">
        <f t="shared" si="0"/>
        <v>262896.61538461538</v>
      </c>
      <c r="L18" s="603">
        <f t="shared" si="1"/>
        <v>0</v>
      </c>
      <c r="M18" s="476">
        <f t="shared" si="2"/>
        <v>262896.61538461538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2017</v>
      </c>
      <c r="D19" s="584">
        <v>1657832.3846153845</v>
      </c>
      <c r="E19" s="585">
        <v>36783.108695652176</v>
      </c>
      <c r="F19" s="584">
        <v>1621049.2759197324</v>
      </c>
      <c r="G19" s="585">
        <v>243079.10869565216</v>
      </c>
      <c r="H19" s="587">
        <v>243079.10869565216</v>
      </c>
      <c r="I19" s="475">
        <f t="shared" ref="I19:I72" si="3">H19-G19</f>
        <v>0</v>
      </c>
      <c r="J19" s="475"/>
      <c r="K19" s="476">
        <f t="shared" si="0"/>
        <v>243079.10869565216</v>
      </c>
      <c r="L19" s="603">
        <f t="shared" si="1"/>
        <v>0</v>
      </c>
      <c r="M19" s="476">
        <f t="shared" si="2"/>
        <v>243079.10869565216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4">IF(D20=F19,"","IU")</f>
        <v/>
      </c>
      <c r="C20" s="472">
        <f>IF(D11="","-",+C19+1)</f>
        <v>2018</v>
      </c>
      <c r="D20" s="584">
        <v>1621049.2759197324</v>
      </c>
      <c r="E20" s="585">
        <v>37600.511111111111</v>
      </c>
      <c r="F20" s="584">
        <v>1583448.7648086213</v>
      </c>
      <c r="G20" s="585">
        <v>229484.15653998824</v>
      </c>
      <c r="H20" s="587">
        <v>229484.15653998824</v>
      </c>
      <c r="I20" s="475">
        <f t="shared" si="3"/>
        <v>0</v>
      </c>
      <c r="J20" s="475"/>
      <c r="K20" s="476">
        <f t="shared" si="0"/>
        <v>229484.15653998824</v>
      </c>
      <c r="L20" s="603">
        <f t="shared" si="1"/>
        <v>0</v>
      </c>
      <c r="M20" s="476">
        <f t="shared" si="2"/>
        <v>229484.15653998824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4"/>
        <v/>
      </c>
      <c r="C21" s="472">
        <f>IF(D11="","-",+C20+1)</f>
        <v>2019</v>
      </c>
      <c r="D21" s="584">
        <v>1583448.7648086213</v>
      </c>
      <c r="E21" s="585">
        <v>42300.574999999997</v>
      </c>
      <c r="F21" s="584">
        <v>1541148.1898086213</v>
      </c>
      <c r="G21" s="585">
        <v>216741.56005757477</v>
      </c>
      <c r="H21" s="587">
        <v>216741.56005757477</v>
      </c>
      <c r="I21" s="475">
        <f t="shared" si="3"/>
        <v>0</v>
      </c>
      <c r="J21" s="475"/>
      <c r="K21" s="476">
        <f t="shared" si="0"/>
        <v>216741.56005757477</v>
      </c>
      <c r="L21" s="603">
        <f t="shared" si="1"/>
        <v>0</v>
      </c>
      <c r="M21" s="476">
        <f t="shared" si="2"/>
        <v>216741.56005757477</v>
      </c>
      <c r="N21" s="478">
        <f t="shared" ref="N21:N72" si="5">IF(M21&lt;&gt;0,+H21-M21,0)</f>
        <v>0</v>
      </c>
      <c r="O21" s="478">
        <f t="shared" ref="O21:O72" si="6">+N21-L21</f>
        <v>0</v>
      </c>
      <c r="P21" s="242"/>
    </row>
    <row r="22" spans="2:16" ht="12.5">
      <c r="B22" s="160" t="str">
        <f t="shared" si="4"/>
        <v>IU</v>
      </c>
      <c r="C22" s="472">
        <f>IF(D11="","-",+C21+1)</f>
        <v>2020</v>
      </c>
      <c r="D22" s="584">
        <v>1545848.2536975101</v>
      </c>
      <c r="E22" s="585">
        <v>40286.261904761908</v>
      </c>
      <c r="F22" s="584">
        <v>1505561.9917927482</v>
      </c>
      <c r="G22" s="585">
        <v>205069.7033172223</v>
      </c>
      <c r="H22" s="587">
        <v>205069.7033172223</v>
      </c>
      <c r="I22" s="475">
        <f t="shared" si="3"/>
        <v>0</v>
      </c>
      <c r="J22" s="475"/>
      <c r="K22" s="476">
        <f t="shared" si="0"/>
        <v>205069.7033172223</v>
      </c>
      <c r="L22" s="603">
        <f t="shared" si="1"/>
        <v>0</v>
      </c>
      <c r="M22" s="476">
        <f t="shared" si="2"/>
        <v>205069.7033172223</v>
      </c>
      <c r="N22" s="478">
        <f t="shared" si="5"/>
        <v>0</v>
      </c>
      <c r="O22" s="478">
        <f t="shared" si="6"/>
        <v>0</v>
      </c>
      <c r="P22" s="242"/>
    </row>
    <row r="23" spans="2:16" ht="12.5">
      <c r="B23" s="160" t="str">
        <f t="shared" si="4"/>
        <v>IU</v>
      </c>
      <c r="C23" s="472">
        <f>IF(D11="","-",+C22+1)</f>
        <v>2021</v>
      </c>
      <c r="D23" s="584">
        <v>1500861.9279038594</v>
      </c>
      <c r="E23" s="585">
        <v>39349.372093023259</v>
      </c>
      <c r="F23" s="584">
        <v>1461512.5558108361</v>
      </c>
      <c r="G23" s="585">
        <v>196932.37209302327</v>
      </c>
      <c r="H23" s="587">
        <v>196932.37209302327</v>
      </c>
      <c r="I23" s="475">
        <f t="shared" si="3"/>
        <v>0</v>
      </c>
      <c r="J23" s="475"/>
      <c r="K23" s="476">
        <f t="shared" ref="K23" si="7">G23</f>
        <v>196932.37209302327</v>
      </c>
      <c r="L23" s="603">
        <f t="shared" ref="L23" si="8">IF(K23&lt;&gt;0,+G23-K23,0)</f>
        <v>0</v>
      </c>
      <c r="M23" s="476">
        <f t="shared" ref="M23" si="9">H23</f>
        <v>196932.37209302327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4"/>
        <v/>
      </c>
      <c r="C24" s="472">
        <f>IF(D11="","-",+C23+1)</f>
        <v>2022</v>
      </c>
      <c r="D24" s="584">
        <v>1461512.5558108361</v>
      </c>
      <c r="E24" s="585">
        <v>40286.261904761908</v>
      </c>
      <c r="F24" s="584">
        <v>1421226.2939060743</v>
      </c>
      <c r="G24" s="585">
        <v>193510.26190476189</v>
      </c>
      <c r="H24" s="587">
        <v>193510.26190476189</v>
      </c>
      <c r="I24" s="475">
        <f t="shared" si="3"/>
        <v>0</v>
      </c>
      <c r="J24" s="475"/>
      <c r="K24" s="476">
        <f t="shared" ref="K24" si="10">G24</f>
        <v>193510.26190476189</v>
      </c>
      <c r="L24" s="603">
        <f t="shared" ref="L24" si="11">IF(K24&lt;&gt;0,+G24-K24,0)</f>
        <v>0</v>
      </c>
      <c r="M24" s="476">
        <f t="shared" ref="M24" si="12">H24</f>
        <v>193510.26190476189</v>
      </c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4"/>
        <v>IU</v>
      </c>
      <c r="C25" s="472">
        <f>IF(D11="","-",+C24+1)</f>
        <v>2023</v>
      </c>
      <c r="D25" s="485">
        <f>IF(F24+SUM(E$17:E24)=D$10,F24,D$10-SUM(E$17:E24))</f>
        <v>1421226.4639060744</v>
      </c>
      <c r="E25" s="484">
        <f t="shared" ref="E25:E72" si="13">IF(+$I$14&lt;F24,$I$14,D25)</f>
        <v>43385.209487179491</v>
      </c>
      <c r="F25" s="485">
        <f t="shared" ref="F25:F72" si="14">+D25-E25</f>
        <v>1377841.2544188949</v>
      </c>
      <c r="G25" s="486">
        <f t="shared" ref="G25:G72" si="15">ROUND(I$12*F25,0)+E25</f>
        <v>207843.2094871795</v>
      </c>
      <c r="H25" s="455">
        <f t="shared" ref="H25:H72" si="16">ROUND(I$13*F25,0)+E25</f>
        <v>207843.2094871795</v>
      </c>
      <c r="I25" s="475">
        <f t="shared" si="3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4"/>
        <v/>
      </c>
      <c r="C26" s="472">
        <f>IF(D11="","-",+C25+1)</f>
        <v>2024</v>
      </c>
      <c r="D26" s="485">
        <f>IF(F25+SUM(E$17:E25)=D$10,F25,D$10-SUM(E$17:E25))</f>
        <v>1377841.2544188949</v>
      </c>
      <c r="E26" s="484">
        <f t="shared" si="13"/>
        <v>43385.209487179491</v>
      </c>
      <c r="F26" s="485">
        <f t="shared" si="14"/>
        <v>1334456.0449317154</v>
      </c>
      <c r="G26" s="486">
        <f t="shared" si="15"/>
        <v>202664.2094871795</v>
      </c>
      <c r="H26" s="455">
        <f t="shared" si="16"/>
        <v>202664.2094871795</v>
      </c>
      <c r="I26" s="475">
        <f t="shared" si="3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4"/>
        <v/>
      </c>
      <c r="C27" s="472">
        <f>IF(D11="","-",+C26+1)</f>
        <v>2025</v>
      </c>
      <c r="D27" s="485">
        <f>IF(F26+SUM(E$17:E26)=D$10,F26,D$10-SUM(E$17:E26))</f>
        <v>1334456.0449317154</v>
      </c>
      <c r="E27" s="484">
        <f t="shared" si="13"/>
        <v>43385.209487179491</v>
      </c>
      <c r="F27" s="485">
        <f t="shared" si="14"/>
        <v>1291070.8354445358</v>
      </c>
      <c r="G27" s="486">
        <f t="shared" si="15"/>
        <v>197486.2094871795</v>
      </c>
      <c r="H27" s="455">
        <f t="shared" si="16"/>
        <v>197486.2094871795</v>
      </c>
      <c r="I27" s="475">
        <f t="shared" si="3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4"/>
        <v/>
      </c>
      <c r="C28" s="472">
        <f>IF(D11="","-",+C27+1)</f>
        <v>2026</v>
      </c>
      <c r="D28" s="485">
        <f>IF(F27+SUM(E$17:E27)=D$10,F27,D$10-SUM(E$17:E27))</f>
        <v>1291070.8354445358</v>
      </c>
      <c r="E28" s="484">
        <f t="shared" si="13"/>
        <v>43385.209487179491</v>
      </c>
      <c r="F28" s="485">
        <f t="shared" si="14"/>
        <v>1247685.6259573563</v>
      </c>
      <c r="G28" s="486">
        <f t="shared" si="15"/>
        <v>192307.2094871795</v>
      </c>
      <c r="H28" s="455">
        <f t="shared" si="16"/>
        <v>192307.2094871795</v>
      </c>
      <c r="I28" s="475">
        <f t="shared" si="3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4"/>
        <v/>
      </c>
      <c r="C29" s="472">
        <f>IF(D11="","-",+C28+1)</f>
        <v>2027</v>
      </c>
      <c r="D29" s="485">
        <f>IF(F28+SUM(E$17:E28)=D$10,F28,D$10-SUM(E$17:E28))</f>
        <v>1247685.6259573563</v>
      </c>
      <c r="E29" s="484">
        <f t="shared" si="13"/>
        <v>43385.209487179491</v>
      </c>
      <c r="F29" s="485">
        <f t="shared" si="14"/>
        <v>1204300.4164701768</v>
      </c>
      <c r="G29" s="486">
        <f t="shared" si="15"/>
        <v>187129.2094871795</v>
      </c>
      <c r="H29" s="455">
        <f t="shared" si="16"/>
        <v>187129.2094871795</v>
      </c>
      <c r="I29" s="475">
        <f t="shared" si="3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4"/>
        <v/>
      </c>
      <c r="C30" s="472">
        <f>IF(D11="","-",+C29+1)</f>
        <v>2028</v>
      </c>
      <c r="D30" s="485">
        <f>IF(F29+SUM(E$17:E29)=D$10,F29,D$10-SUM(E$17:E29))</f>
        <v>1204300.4164701768</v>
      </c>
      <c r="E30" s="484">
        <f t="shared" si="13"/>
        <v>43385.209487179491</v>
      </c>
      <c r="F30" s="485">
        <f t="shared" si="14"/>
        <v>1160915.2069829972</v>
      </c>
      <c r="G30" s="486">
        <f t="shared" si="15"/>
        <v>181951.2094871795</v>
      </c>
      <c r="H30" s="455">
        <f t="shared" si="16"/>
        <v>181951.2094871795</v>
      </c>
      <c r="I30" s="475">
        <f t="shared" si="3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4"/>
        <v/>
      </c>
      <c r="C31" s="472">
        <f>IF(D11="","-",+C30+1)</f>
        <v>2029</v>
      </c>
      <c r="D31" s="485">
        <f>IF(F30+SUM(E$17:E30)=D$10,F30,D$10-SUM(E$17:E30))</f>
        <v>1160915.2069829972</v>
      </c>
      <c r="E31" s="484">
        <f t="shared" si="13"/>
        <v>43385.209487179491</v>
      </c>
      <c r="F31" s="485">
        <f t="shared" si="14"/>
        <v>1117529.9974958177</v>
      </c>
      <c r="G31" s="486">
        <f t="shared" si="15"/>
        <v>176772.2094871795</v>
      </c>
      <c r="H31" s="455">
        <f t="shared" si="16"/>
        <v>176772.2094871795</v>
      </c>
      <c r="I31" s="475">
        <f t="shared" si="3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4"/>
        <v/>
      </c>
      <c r="C32" s="472">
        <f>IF(D11="","-",+C31+1)</f>
        <v>2030</v>
      </c>
      <c r="D32" s="485">
        <f>IF(F31+SUM(E$17:E31)=D$10,F31,D$10-SUM(E$17:E31))</f>
        <v>1117529.9974958177</v>
      </c>
      <c r="E32" s="484">
        <f t="shared" si="13"/>
        <v>43385.209487179491</v>
      </c>
      <c r="F32" s="485">
        <f t="shared" si="14"/>
        <v>1074144.7880086382</v>
      </c>
      <c r="G32" s="486">
        <f t="shared" si="15"/>
        <v>171594.2094871795</v>
      </c>
      <c r="H32" s="455">
        <f t="shared" si="16"/>
        <v>171594.2094871795</v>
      </c>
      <c r="I32" s="475">
        <f t="shared" si="3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4"/>
        <v/>
      </c>
      <c r="C33" s="472">
        <f>IF(D11="","-",+C32+1)</f>
        <v>2031</v>
      </c>
      <c r="D33" s="485">
        <f>IF(F32+SUM(E$17:E32)=D$10,F32,D$10-SUM(E$17:E32))</f>
        <v>1074144.7880086382</v>
      </c>
      <c r="E33" s="484">
        <f t="shared" si="13"/>
        <v>43385.209487179491</v>
      </c>
      <c r="F33" s="485">
        <f t="shared" si="14"/>
        <v>1030759.5785214587</v>
      </c>
      <c r="G33" s="486">
        <f t="shared" si="15"/>
        <v>166415.2094871795</v>
      </c>
      <c r="H33" s="455">
        <f t="shared" si="16"/>
        <v>166415.2094871795</v>
      </c>
      <c r="I33" s="475">
        <f t="shared" si="3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4"/>
        <v/>
      </c>
      <c r="C34" s="472">
        <f>IF(D11="","-",+C33+1)</f>
        <v>2032</v>
      </c>
      <c r="D34" s="485">
        <f>IF(F33+SUM(E$17:E33)=D$10,F33,D$10-SUM(E$17:E33))</f>
        <v>1030759.5785214587</v>
      </c>
      <c r="E34" s="484">
        <f t="shared" si="13"/>
        <v>43385.209487179491</v>
      </c>
      <c r="F34" s="485">
        <f t="shared" si="14"/>
        <v>987374.36903427914</v>
      </c>
      <c r="G34" s="486">
        <f t="shared" si="15"/>
        <v>161237.2094871795</v>
      </c>
      <c r="H34" s="455">
        <f t="shared" si="16"/>
        <v>161237.2094871795</v>
      </c>
      <c r="I34" s="475">
        <f t="shared" si="3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4"/>
        <v/>
      </c>
      <c r="C35" s="472">
        <f>IF(D11="","-",+C34+1)</f>
        <v>2033</v>
      </c>
      <c r="D35" s="485">
        <f>IF(F34+SUM(E$17:E34)=D$10,F34,D$10-SUM(E$17:E34))</f>
        <v>987374.36903427914</v>
      </c>
      <c r="E35" s="484">
        <f t="shared" si="13"/>
        <v>43385.209487179491</v>
      </c>
      <c r="F35" s="485">
        <f t="shared" si="14"/>
        <v>943989.15954709961</v>
      </c>
      <c r="G35" s="486">
        <f t="shared" si="15"/>
        <v>156059.2094871795</v>
      </c>
      <c r="H35" s="455">
        <f t="shared" si="16"/>
        <v>156059.2094871795</v>
      </c>
      <c r="I35" s="475">
        <f t="shared" si="3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4"/>
        <v/>
      </c>
      <c r="C36" s="472">
        <f>IF(D11="","-",+C35+1)</f>
        <v>2034</v>
      </c>
      <c r="D36" s="485">
        <f>IF(F35+SUM(E$17:E35)=D$10,F35,D$10-SUM(E$17:E35))</f>
        <v>943989.15954709961</v>
      </c>
      <c r="E36" s="484">
        <f t="shared" si="13"/>
        <v>43385.209487179491</v>
      </c>
      <c r="F36" s="485">
        <f t="shared" si="14"/>
        <v>900603.95005992008</v>
      </c>
      <c r="G36" s="486">
        <f t="shared" si="15"/>
        <v>150880.2094871795</v>
      </c>
      <c r="H36" s="455">
        <f t="shared" si="16"/>
        <v>150880.2094871795</v>
      </c>
      <c r="I36" s="475">
        <f t="shared" si="3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4"/>
        <v/>
      </c>
      <c r="C37" s="472">
        <f>IF(D11="","-",+C36+1)</f>
        <v>2035</v>
      </c>
      <c r="D37" s="485">
        <f>IF(F36+SUM(E$17:E36)=D$10,F36,D$10-SUM(E$17:E36))</f>
        <v>900603.95005992008</v>
      </c>
      <c r="E37" s="484">
        <f t="shared" si="13"/>
        <v>43385.209487179491</v>
      </c>
      <c r="F37" s="485">
        <f t="shared" si="14"/>
        <v>857218.74057274056</v>
      </c>
      <c r="G37" s="486">
        <f t="shared" si="15"/>
        <v>145702.2094871795</v>
      </c>
      <c r="H37" s="455">
        <f t="shared" si="16"/>
        <v>145702.2094871795</v>
      </c>
      <c r="I37" s="475">
        <f t="shared" si="3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4"/>
        <v/>
      </c>
      <c r="C38" s="472">
        <f>IF(D11="","-",+C37+1)</f>
        <v>2036</v>
      </c>
      <c r="D38" s="485">
        <f>IF(F37+SUM(E$17:E37)=D$10,F37,D$10-SUM(E$17:E37))</f>
        <v>857218.74057274056</v>
      </c>
      <c r="E38" s="484">
        <f t="shared" si="13"/>
        <v>43385.209487179491</v>
      </c>
      <c r="F38" s="485">
        <f t="shared" si="14"/>
        <v>813833.53108556103</v>
      </c>
      <c r="G38" s="486">
        <f t="shared" si="15"/>
        <v>140523.2094871795</v>
      </c>
      <c r="H38" s="455">
        <f t="shared" si="16"/>
        <v>140523.2094871795</v>
      </c>
      <c r="I38" s="475">
        <f t="shared" si="3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4"/>
        <v/>
      </c>
      <c r="C39" s="472">
        <f>IF(D11="","-",+C38+1)</f>
        <v>2037</v>
      </c>
      <c r="D39" s="485">
        <f>IF(F38+SUM(E$17:E38)=D$10,F38,D$10-SUM(E$17:E38))</f>
        <v>813833.53108556103</v>
      </c>
      <c r="E39" s="484">
        <f t="shared" si="13"/>
        <v>43385.209487179491</v>
      </c>
      <c r="F39" s="485">
        <f t="shared" si="14"/>
        <v>770448.3215983815</v>
      </c>
      <c r="G39" s="486">
        <f t="shared" si="15"/>
        <v>135345.2094871795</v>
      </c>
      <c r="H39" s="455">
        <f t="shared" si="16"/>
        <v>135345.2094871795</v>
      </c>
      <c r="I39" s="475">
        <f t="shared" si="3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4"/>
        <v/>
      </c>
      <c r="C40" s="472">
        <f>IF(D11="","-",+C39+1)</f>
        <v>2038</v>
      </c>
      <c r="D40" s="485">
        <f>IF(F39+SUM(E$17:E39)=D$10,F39,D$10-SUM(E$17:E39))</f>
        <v>770448.3215983815</v>
      </c>
      <c r="E40" s="484">
        <f t="shared" si="13"/>
        <v>43385.209487179491</v>
      </c>
      <c r="F40" s="485">
        <f t="shared" si="14"/>
        <v>727063.11211120198</v>
      </c>
      <c r="G40" s="486">
        <f t="shared" si="15"/>
        <v>130166.2094871795</v>
      </c>
      <c r="H40" s="455">
        <f t="shared" si="16"/>
        <v>130166.2094871795</v>
      </c>
      <c r="I40" s="475">
        <f t="shared" si="3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4"/>
        <v/>
      </c>
      <c r="C41" s="472">
        <f>IF(D11="","-",+C40+1)</f>
        <v>2039</v>
      </c>
      <c r="D41" s="485">
        <f>IF(F40+SUM(E$17:E40)=D$10,F40,D$10-SUM(E$17:E40))</f>
        <v>727063.11211120198</v>
      </c>
      <c r="E41" s="484">
        <f t="shared" si="13"/>
        <v>43385.209487179491</v>
      </c>
      <c r="F41" s="485">
        <f t="shared" si="14"/>
        <v>683677.90262402245</v>
      </c>
      <c r="G41" s="486">
        <f t="shared" si="15"/>
        <v>124988.2094871795</v>
      </c>
      <c r="H41" s="455">
        <f t="shared" si="16"/>
        <v>124988.2094871795</v>
      </c>
      <c r="I41" s="475">
        <f t="shared" si="3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4"/>
        <v/>
      </c>
      <c r="C42" s="472">
        <f>IF(D11="","-",+C41+1)</f>
        <v>2040</v>
      </c>
      <c r="D42" s="485">
        <f>IF(F41+SUM(E$17:E41)=D$10,F41,D$10-SUM(E$17:E41))</f>
        <v>683677.90262402245</v>
      </c>
      <c r="E42" s="484">
        <f t="shared" si="13"/>
        <v>43385.209487179491</v>
      </c>
      <c r="F42" s="485">
        <f t="shared" si="14"/>
        <v>640292.69313684292</v>
      </c>
      <c r="G42" s="486">
        <f t="shared" si="15"/>
        <v>119810.2094871795</v>
      </c>
      <c r="H42" s="455">
        <f t="shared" si="16"/>
        <v>119810.2094871795</v>
      </c>
      <c r="I42" s="475">
        <f t="shared" si="3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4"/>
        <v/>
      </c>
      <c r="C43" s="472">
        <f>IF(D11="","-",+C42+1)</f>
        <v>2041</v>
      </c>
      <c r="D43" s="485">
        <f>IF(F42+SUM(E$17:E42)=D$10,F42,D$10-SUM(E$17:E42))</f>
        <v>640292.69313684292</v>
      </c>
      <c r="E43" s="484">
        <f t="shared" si="13"/>
        <v>43385.209487179491</v>
      </c>
      <c r="F43" s="485">
        <f t="shared" si="14"/>
        <v>596907.48364966339</v>
      </c>
      <c r="G43" s="486">
        <f t="shared" si="15"/>
        <v>114631.2094871795</v>
      </c>
      <c r="H43" s="455">
        <f t="shared" si="16"/>
        <v>114631.2094871795</v>
      </c>
      <c r="I43" s="475">
        <f t="shared" si="3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4"/>
        <v/>
      </c>
      <c r="C44" s="472">
        <f>IF(D11="","-",+C43+1)</f>
        <v>2042</v>
      </c>
      <c r="D44" s="485">
        <f>IF(F43+SUM(E$17:E43)=D$10,F43,D$10-SUM(E$17:E43))</f>
        <v>596907.48364966339</v>
      </c>
      <c r="E44" s="484">
        <f t="shared" si="13"/>
        <v>43385.209487179491</v>
      </c>
      <c r="F44" s="485">
        <f t="shared" si="14"/>
        <v>553522.27416248387</v>
      </c>
      <c r="G44" s="486">
        <f t="shared" si="15"/>
        <v>109453.2094871795</v>
      </c>
      <c r="H44" s="455">
        <f t="shared" si="16"/>
        <v>109453.2094871795</v>
      </c>
      <c r="I44" s="475">
        <f t="shared" si="3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4"/>
        <v/>
      </c>
      <c r="C45" s="472">
        <f>IF(D11="","-",+C44+1)</f>
        <v>2043</v>
      </c>
      <c r="D45" s="485">
        <f>IF(F44+SUM(E$17:E44)=D$10,F44,D$10-SUM(E$17:E44))</f>
        <v>553522.27416248387</v>
      </c>
      <c r="E45" s="484">
        <f t="shared" si="13"/>
        <v>43385.209487179491</v>
      </c>
      <c r="F45" s="485">
        <f t="shared" si="14"/>
        <v>510137.0646753044</v>
      </c>
      <c r="G45" s="486">
        <f t="shared" si="15"/>
        <v>104274.2094871795</v>
      </c>
      <c r="H45" s="455">
        <f t="shared" si="16"/>
        <v>104274.2094871795</v>
      </c>
      <c r="I45" s="475">
        <f t="shared" si="3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4"/>
        <v/>
      </c>
      <c r="C46" s="472">
        <f>IF(D11="","-",+C45+1)</f>
        <v>2044</v>
      </c>
      <c r="D46" s="485">
        <f>IF(F45+SUM(E$17:E45)=D$10,F45,D$10-SUM(E$17:E45))</f>
        <v>510137.0646753044</v>
      </c>
      <c r="E46" s="484">
        <f t="shared" si="13"/>
        <v>43385.209487179491</v>
      </c>
      <c r="F46" s="485">
        <f t="shared" si="14"/>
        <v>466751.85518812493</v>
      </c>
      <c r="G46" s="486">
        <f t="shared" si="15"/>
        <v>99096.209487179498</v>
      </c>
      <c r="H46" s="455">
        <f t="shared" si="16"/>
        <v>99096.209487179498</v>
      </c>
      <c r="I46" s="475">
        <f t="shared" si="3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4"/>
        <v/>
      </c>
      <c r="C47" s="472">
        <f>IF(D11="","-",+C46+1)</f>
        <v>2045</v>
      </c>
      <c r="D47" s="485">
        <f>IF(F46+SUM(E$17:E46)=D$10,F46,D$10-SUM(E$17:E46))</f>
        <v>466751.85518812493</v>
      </c>
      <c r="E47" s="484">
        <f t="shared" si="13"/>
        <v>43385.209487179491</v>
      </c>
      <c r="F47" s="485">
        <f t="shared" si="14"/>
        <v>423366.64570094546</v>
      </c>
      <c r="G47" s="486">
        <f t="shared" si="15"/>
        <v>93918.209487179498</v>
      </c>
      <c r="H47" s="455">
        <f t="shared" si="16"/>
        <v>93918.209487179498</v>
      </c>
      <c r="I47" s="475">
        <f t="shared" si="3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4"/>
        <v/>
      </c>
      <c r="C48" s="472">
        <f>IF(D11="","-",+C47+1)</f>
        <v>2046</v>
      </c>
      <c r="D48" s="485">
        <f>IF(F47+SUM(E$17:E47)=D$10,F47,D$10-SUM(E$17:E47))</f>
        <v>423366.64570094546</v>
      </c>
      <c r="E48" s="484">
        <f t="shared" si="13"/>
        <v>43385.209487179491</v>
      </c>
      <c r="F48" s="485">
        <f t="shared" si="14"/>
        <v>379981.43621376599</v>
      </c>
      <c r="G48" s="486">
        <f t="shared" si="15"/>
        <v>88739.209487179498</v>
      </c>
      <c r="H48" s="455">
        <f t="shared" si="16"/>
        <v>88739.209487179498</v>
      </c>
      <c r="I48" s="475">
        <f t="shared" si="3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4"/>
        <v/>
      </c>
      <c r="C49" s="472">
        <f>IF(D11="","-",+C48+1)</f>
        <v>2047</v>
      </c>
      <c r="D49" s="485">
        <f>IF(F48+SUM(E$17:E48)=D$10,F48,D$10-SUM(E$17:E48))</f>
        <v>379981.43621376599</v>
      </c>
      <c r="E49" s="484">
        <f t="shared" si="13"/>
        <v>43385.209487179491</v>
      </c>
      <c r="F49" s="485">
        <f t="shared" si="14"/>
        <v>336596.22672658652</v>
      </c>
      <c r="G49" s="486">
        <f t="shared" si="15"/>
        <v>83561.209487179498</v>
      </c>
      <c r="H49" s="455">
        <f t="shared" si="16"/>
        <v>83561.209487179498</v>
      </c>
      <c r="I49" s="475">
        <f t="shared" si="3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4"/>
        <v/>
      </c>
      <c r="C50" s="472">
        <f>IF(D11="","-",+C49+1)</f>
        <v>2048</v>
      </c>
      <c r="D50" s="485">
        <f>IF(F49+SUM(E$17:E49)=D$10,F49,D$10-SUM(E$17:E49))</f>
        <v>336596.22672658652</v>
      </c>
      <c r="E50" s="484">
        <f t="shared" si="13"/>
        <v>43385.209487179491</v>
      </c>
      <c r="F50" s="485">
        <f t="shared" si="14"/>
        <v>293211.01723940705</v>
      </c>
      <c r="G50" s="486">
        <f t="shared" si="15"/>
        <v>78382.209487179498</v>
      </c>
      <c r="H50" s="455">
        <f t="shared" si="16"/>
        <v>78382.209487179498</v>
      </c>
      <c r="I50" s="475">
        <f t="shared" si="3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4"/>
        <v/>
      </c>
      <c r="C51" s="472">
        <f>IF(D11="","-",+C50+1)</f>
        <v>2049</v>
      </c>
      <c r="D51" s="485">
        <f>IF(F50+SUM(E$17:E50)=D$10,F50,D$10-SUM(E$17:E50))</f>
        <v>293211.01723940705</v>
      </c>
      <c r="E51" s="484">
        <f t="shared" si="13"/>
        <v>43385.209487179491</v>
      </c>
      <c r="F51" s="485">
        <f t="shared" si="14"/>
        <v>249825.80775222756</v>
      </c>
      <c r="G51" s="486">
        <f t="shared" si="15"/>
        <v>73204.209487179498</v>
      </c>
      <c r="H51" s="455">
        <f t="shared" si="16"/>
        <v>73204.209487179498</v>
      </c>
      <c r="I51" s="475">
        <f t="shared" si="3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4"/>
        <v/>
      </c>
      <c r="C52" s="472">
        <f>IF(D11="","-",+C51+1)</f>
        <v>2050</v>
      </c>
      <c r="D52" s="485">
        <f>IF(F51+SUM(E$17:E51)=D$10,F51,D$10-SUM(E$17:E51))</f>
        <v>249825.80775222756</v>
      </c>
      <c r="E52" s="484">
        <f t="shared" si="13"/>
        <v>43385.209487179491</v>
      </c>
      <c r="F52" s="485">
        <f t="shared" si="14"/>
        <v>206440.59826504806</v>
      </c>
      <c r="G52" s="486">
        <f t="shared" si="15"/>
        <v>68026.209487179498</v>
      </c>
      <c r="H52" s="455">
        <f t="shared" si="16"/>
        <v>68026.209487179498</v>
      </c>
      <c r="I52" s="475">
        <f t="shared" si="3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4"/>
        <v/>
      </c>
      <c r="C53" s="472">
        <f>IF(D11="","-",+C52+1)</f>
        <v>2051</v>
      </c>
      <c r="D53" s="485">
        <f>IF(F52+SUM(E$17:E52)=D$10,F52,D$10-SUM(E$17:E52))</f>
        <v>206440.59826504806</v>
      </c>
      <c r="E53" s="484">
        <f t="shared" si="13"/>
        <v>43385.209487179491</v>
      </c>
      <c r="F53" s="485">
        <f t="shared" si="14"/>
        <v>163055.38877786856</v>
      </c>
      <c r="G53" s="486">
        <f t="shared" si="15"/>
        <v>62847.209487179491</v>
      </c>
      <c r="H53" s="455">
        <f t="shared" si="16"/>
        <v>62847.209487179491</v>
      </c>
      <c r="I53" s="475">
        <f t="shared" si="3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4"/>
        <v/>
      </c>
      <c r="C54" s="472">
        <f>IF(D11="","-",+C53+1)</f>
        <v>2052</v>
      </c>
      <c r="D54" s="485">
        <f>IF(F53+SUM(E$17:E53)=D$10,F53,D$10-SUM(E$17:E53))</f>
        <v>163055.38877786856</v>
      </c>
      <c r="E54" s="484">
        <f t="shared" si="13"/>
        <v>43385.209487179491</v>
      </c>
      <c r="F54" s="485">
        <f t="shared" si="14"/>
        <v>119670.17929068906</v>
      </c>
      <c r="G54" s="486">
        <f t="shared" si="15"/>
        <v>57669.209487179491</v>
      </c>
      <c r="H54" s="455">
        <f t="shared" si="16"/>
        <v>57669.209487179491</v>
      </c>
      <c r="I54" s="475">
        <f t="shared" si="3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4"/>
        <v/>
      </c>
      <c r="C55" s="472">
        <f>IF(D11="","-",+C54+1)</f>
        <v>2053</v>
      </c>
      <c r="D55" s="485">
        <f>IF(F54+SUM(E$17:E54)=D$10,F54,D$10-SUM(E$17:E54))</f>
        <v>119670.17929068906</v>
      </c>
      <c r="E55" s="484">
        <f t="shared" si="13"/>
        <v>43385.209487179491</v>
      </c>
      <c r="F55" s="485">
        <f t="shared" si="14"/>
        <v>76284.969803509564</v>
      </c>
      <c r="G55" s="486">
        <f t="shared" si="15"/>
        <v>52490.209487179491</v>
      </c>
      <c r="H55" s="455">
        <f t="shared" si="16"/>
        <v>52490.209487179491</v>
      </c>
      <c r="I55" s="475">
        <f t="shared" si="3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4"/>
        <v/>
      </c>
      <c r="C56" s="472">
        <f>IF(D11="","-",+C55+1)</f>
        <v>2054</v>
      </c>
      <c r="D56" s="485">
        <f>IF(F55+SUM(E$17:E55)=D$10,F55,D$10-SUM(E$17:E55))</f>
        <v>76284.969803509564</v>
      </c>
      <c r="E56" s="484">
        <f t="shared" si="13"/>
        <v>43385.209487179491</v>
      </c>
      <c r="F56" s="485">
        <f t="shared" si="14"/>
        <v>32899.760316330074</v>
      </c>
      <c r="G56" s="486">
        <f t="shared" si="15"/>
        <v>47312.209487179491</v>
      </c>
      <c r="H56" s="455">
        <f t="shared" si="16"/>
        <v>47312.209487179491</v>
      </c>
      <c r="I56" s="475">
        <f t="shared" si="3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4"/>
        <v/>
      </c>
      <c r="C57" s="472">
        <f>IF(D11="","-",+C56+1)</f>
        <v>2055</v>
      </c>
      <c r="D57" s="485">
        <f>IF(F56+SUM(E$17:E56)=D$10,F56,D$10-SUM(E$17:E56))</f>
        <v>32899.760316330074</v>
      </c>
      <c r="E57" s="484">
        <f t="shared" si="13"/>
        <v>32899.760316330074</v>
      </c>
      <c r="F57" s="485">
        <f t="shared" si="14"/>
        <v>0</v>
      </c>
      <c r="G57" s="486">
        <f t="shared" si="15"/>
        <v>32899.760316330074</v>
      </c>
      <c r="H57" s="455">
        <f t="shared" si="16"/>
        <v>32899.760316330074</v>
      </c>
      <c r="I57" s="475">
        <f t="shared" si="3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4"/>
        <v/>
      </c>
      <c r="C58" s="472">
        <f>IF(D11="","-",+C57+1)</f>
        <v>2056</v>
      </c>
      <c r="D58" s="485">
        <f>IF(F57+SUM(E$17:E57)=D$10,F57,D$10-SUM(E$17:E57))</f>
        <v>0</v>
      </c>
      <c r="E58" s="484">
        <f t="shared" si="13"/>
        <v>0</v>
      </c>
      <c r="F58" s="485">
        <f t="shared" si="14"/>
        <v>0</v>
      </c>
      <c r="G58" s="486">
        <f t="shared" si="15"/>
        <v>0</v>
      </c>
      <c r="H58" s="455">
        <f t="shared" si="16"/>
        <v>0</v>
      </c>
      <c r="I58" s="475">
        <f t="shared" si="3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4"/>
        <v/>
      </c>
      <c r="C59" s="472">
        <f>IF(D11="","-",+C58+1)</f>
        <v>2057</v>
      </c>
      <c r="D59" s="485">
        <f>IF(F58+SUM(E$17:E58)=D$10,F58,D$10-SUM(E$17:E58))</f>
        <v>0</v>
      </c>
      <c r="E59" s="484">
        <f t="shared" si="13"/>
        <v>0</v>
      </c>
      <c r="F59" s="485">
        <f t="shared" si="14"/>
        <v>0</v>
      </c>
      <c r="G59" s="486">
        <f t="shared" si="15"/>
        <v>0</v>
      </c>
      <c r="H59" s="455">
        <f t="shared" si="16"/>
        <v>0</v>
      </c>
      <c r="I59" s="475">
        <f t="shared" si="3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4"/>
        <v/>
      </c>
      <c r="C60" s="472">
        <f>IF(D11="","-",+C59+1)</f>
        <v>2058</v>
      </c>
      <c r="D60" s="485">
        <f>IF(F59+SUM(E$17:E59)=D$10,F59,D$10-SUM(E$17:E59))</f>
        <v>0</v>
      </c>
      <c r="E60" s="484">
        <f t="shared" si="13"/>
        <v>0</v>
      </c>
      <c r="F60" s="485">
        <f t="shared" si="14"/>
        <v>0</v>
      </c>
      <c r="G60" s="486">
        <f t="shared" si="15"/>
        <v>0</v>
      </c>
      <c r="H60" s="455">
        <f t="shared" si="16"/>
        <v>0</v>
      </c>
      <c r="I60" s="475">
        <f t="shared" si="3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4"/>
        <v/>
      </c>
      <c r="C61" s="472">
        <f>IF(D11="","-",+C60+1)</f>
        <v>2059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3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4"/>
        <v/>
      </c>
      <c r="C62" s="472">
        <f>IF(D11="","-",+C61+1)</f>
        <v>2060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3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4"/>
        <v/>
      </c>
      <c r="C63" s="472">
        <f>IF(D11="","-",+C62+1)</f>
        <v>2061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3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4"/>
        <v/>
      </c>
      <c r="C64" s="472">
        <f>IF(D11="","-",+C63+1)</f>
        <v>2062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3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4"/>
        <v/>
      </c>
      <c r="C65" s="472">
        <f>IF(D11="","-",+C64+1)</f>
        <v>2063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3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4"/>
        <v/>
      </c>
      <c r="C66" s="472">
        <f>IF(D11="","-",+C65+1)</f>
        <v>2064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3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4"/>
        <v/>
      </c>
      <c r="C67" s="472">
        <f>IF(D11="","-",+C66+1)</f>
        <v>2065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3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4"/>
        <v/>
      </c>
      <c r="C68" s="472">
        <f>IF(D11="","-",+C67+1)</f>
        <v>2066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3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4"/>
        <v/>
      </c>
      <c r="C69" s="472">
        <f>IF(D11="","-",+C68+1)</f>
        <v>2067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3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4"/>
        <v/>
      </c>
      <c r="C70" s="472">
        <f>IF(D11="","-",+C69+1)</f>
        <v>2068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3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4"/>
        <v/>
      </c>
      <c r="C71" s="472">
        <f>IF(D11="","-",+C70+1)</f>
        <v>2069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3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4"/>
        <v/>
      </c>
      <c r="C72" s="489">
        <f>IF(D11="","-",+C71+1)</f>
        <v>2070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544">
        <f t="shared" si="15"/>
        <v>0</v>
      </c>
      <c r="H72" s="435">
        <f t="shared" si="16"/>
        <v>0</v>
      </c>
      <c r="I72" s="493">
        <f t="shared" si="3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1692023.1700000002</v>
      </c>
      <c r="F73" s="347"/>
      <c r="G73" s="347">
        <f>SUM(G17:G72)</f>
        <v>5869900.7270485125</v>
      </c>
      <c r="H73" s="347">
        <f>SUM(H17:H72)</f>
        <v>5869900.7270485125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17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196932.37209302327</v>
      </c>
      <c r="N87" s="508">
        <f>IF(J92&lt;D11,0,VLOOKUP(J92,C17:O72,11))</f>
        <v>196932.37209302327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209438.30504191047</v>
      </c>
      <c r="N88" s="512">
        <f>IF(J92&lt;D11,0,VLOOKUP(J92,C99:P154,7))</f>
        <v>209438.30504191047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Grady Customer Connection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12505.932948887203</v>
      </c>
      <c r="N89" s="517">
        <f>+N88-N87</f>
        <v>12505.932948887203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TP2013002</v>
      </c>
      <c r="E91" s="522" t="str">
        <f>E9</f>
        <v xml:space="preserve">  SPP Project ID = 30748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609">
        <v>1692023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2015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41269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2015</v>
      </c>
      <c r="D99" s="584">
        <v>0</v>
      </c>
      <c r="E99" s="608">
        <v>0</v>
      </c>
      <c r="F99" s="584">
        <v>1625288</v>
      </c>
      <c r="G99" s="608">
        <v>812644</v>
      </c>
      <c r="H99" s="587">
        <v>110878.7398202499</v>
      </c>
      <c r="I99" s="607">
        <v>110878.7398202499</v>
      </c>
      <c r="J99" s="478">
        <f>+I99-H99</f>
        <v>0</v>
      </c>
      <c r="K99" s="478"/>
      <c r="L99" s="554">
        <f>+H99</f>
        <v>110878.7398202499</v>
      </c>
      <c r="M99" s="477">
        <f t="shared" ref="M99:M130" si="18">IF(L99&lt;&gt;0,+H99-L99,0)</f>
        <v>0</v>
      </c>
      <c r="N99" s="554">
        <f>+I99</f>
        <v>110878.7398202499</v>
      </c>
      <c r="O99" s="477">
        <f t="shared" ref="O99:O130" si="19">IF(N99&lt;&gt;0,+I99-N99,0)</f>
        <v>0</v>
      </c>
      <c r="P99" s="477">
        <f t="shared" ref="P99:P130" si="20">+O99-M99</f>
        <v>0</v>
      </c>
    </row>
    <row r="100" spans="1:16" ht="12.5">
      <c r="B100" s="160" t="str">
        <f>IF(D100=F99,"","IU")</f>
        <v>IU</v>
      </c>
      <c r="C100" s="472">
        <f>IF(D93="","-",+C99+1)</f>
        <v>2016</v>
      </c>
      <c r="D100" s="584">
        <v>1692023</v>
      </c>
      <c r="E100" s="585">
        <v>36783</v>
      </c>
      <c r="F100" s="586">
        <v>1655240</v>
      </c>
      <c r="G100" s="586">
        <v>1673631.5</v>
      </c>
      <c r="H100" s="606">
        <v>252540.45816220198</v>
      </c>
      <c r="I100" s="607">
        <v>252540.45816220198</v>
      </c>
      <c r="J100" s="478">
        <f>+I100-H100</f>
        <v>0</v>
      </c>
      <c r="K100" s="478"/>
      <c r="L100" s="476">
        <f>H100</f>
        <v>252540.45816220198</v>
      </c>
      <c r="M100" s="603">
        <f>IF(L100&lt;&gt;0,+H100-L100,0)</f>
        <v>0</v>
      </c>
      <c r="N100" s="476">
        <f>I100</f>
        <v>252540.45816220198</v>
      </c>
      <c r="O100" s="478">
        <f>IF(N100&lt;&gt;0,+I100-N100,0)</f>
        <v>0</v>
      </c>
      <c r="P100" s="475">
        <f>+O100-M100</f>
        <v>0</v>
      </c>
    </row>
    <row r="101" spans="1:16" ht="12.5">
      <c r="B101" s="160" t="str">
        <f t="shared" ref="B101:B154" si="21">IF(D101=F100,"","IU")</f>
        <v/>
      </c>
      <c r="C101" s="472">
        <f>IF(D93="","-",+C100+1)</f>
        <v>2017</v>
      </c>
      <c r="D101" s="584">
        <v>1655240</v>
      </c>
      <c r="E101" s="585">
        <v>36783</v>
      </c>
      <c r="F101" s="586">
        <v>1618457</v>
      </c>
      <c r="G101" s="586">
        <v>1636848.5</v>
      </c>
      <c r="H101" s="606">
        <v>244421.35953995908</v>
      </c>
      <c r="I101" s="607">
        <v>244421.35953995908</v>
      </c>
      <c r="J101" s="478">
        <f t="shared" ref="J101:J154" si="22">+I101-H101</f>
        <v>0</v>
      </c>
      <c r="K101" s="478"/>
      <c r="L101" s="476">
        <f>H101</f>
        <v>244421.35953995908</v>
      </c>
      <c r="M101" s="603">
        <f>IF(L101&lt;&gt;0,+H101-L101,0)</f>
        <v>0</v>
      </c>
      <c r="N101" s="476">
        <f>I101</f>
        <v>244421.35953995908</v>
      </c>
      <c r="O101" s="478">
        <f>IF(N101&lt;&gt;0,+I101-N101,0)</f>
        <v>0</v>
      </c>
      <c r="P101" s="475">
        <f>+O101-M101</f>
        <v>0</v>
      </c>
    </row>
    <row r="102" spans="1:16" ht="12.5">
      <c r="B102" s="160" t="str">
        <f t="shared" si="21"/>
        <v/>
      </c>
      <c r="C102" s="472">
        <f>IF(D93="","-",+C101+1)</f>
        <v>2018</v>
      </c>
      <c r="D102" s="584">
        <v>1618457</v>
      </c>
      <c r="E102" s="585">
        <v>39349</v>
      </c>
      <c r="F102" s="586">
        <v>1579108</v>
      </c>
      <c r="G102" s="586">
        <v>1598782.5</v>
      </c>
      <c r="H102" s="606">
        <v>203600.82637045698</v>
      </c>
      <c r="I102" s="607">
        <v>203600.82637045698</v>
      </c>
      <c r="J102" s="478">
        <f t="shared" si="22"/>
        <v>0</v>
      </c>
      <c r="K102" s="478"/>
      <c r="L102" s="476">
        <f>H102</f>
        <v>203600.82637045698</v>
      </c>
      <c r="M102" s="603">
        <f>IF(L102&lt;&gt;0,+H102-L102,0)</f>
        <v>0</v>
      </c>
      <c r="N102" s="476">
        <f>I102</f>
        <v>203600.82637045698</v>
      </c>
      <c r="O102" s="478">
        <f>IF(N102&lt;&gt;0,+I102-N102,0)</f>
        <v>0</v>
      </c>
      <c r="P102" s="475">
        <f>+O102-M102</f>
        <v>0</v>
      </c>
    </row>
    <row r="103" spans="1:16" ht="12.5">
      <c r="B103" s="160" t="str">
        <f t="shared" si="21"/>
        <v/>
      </c>
      <c r="C103" s="472">
        <f>IF(D93="","-",+C102+1)</f>
        <v>2019</v>
      </c>
      <c r="D103" s="584">
        <v>1579108</v>
      </c>
      <c r="E103" s="585">
        <v>41269</v>
      </c>
      <c r="F103" s="586">
        <v>1537839</v>
      </c>
      <c r="G103" s="586">
        <v>1558473.5</v>
      </c>
      <c r="H103" s="606">
        <v>201969.47712497122</v>
      </c>
      <c r="I103" s="607">
        <v>201969.47712497122</v>
      </c>
      <c r="J103" s="478">
        <f t="shared" si="22"/>
        <v>0</v>
      </c>
      <c r="K103" s="478"/>
      <c r="L103" s="476">
        <f>H103</f>
        <v>201969.47712497122</v>
      </c>
      <c r="M103" s="603">
        <f>IF(L103&lt;&gt;0,+H103-L103,0)</f>
        <v>0</v>
      </c>
      <c r="N103" s="476">
        <f>I103</f>
        <v>201969.47712497122</v>
      </c>
      <c r="O103" s="478">
        <f t="shared" si="19"/>
        <v>0</v>
      </c>
      <c r="P103" s="478">
        <f t="shared" si="20"/>
        <v>0</v>
      </c>
    </row>
    <row r="104" spans="1:16" ht="12.5">
      <c r="B104" s="160" t="str">
        <f t="shared" si="21"/>
        <v/>
      </c>
      <c r="C104" s="472">
        <f>IF(D93="","-",+C103+1)</f>
        <v>2020</v>
      </c>
      <c r="D104" s="584">
        <v>1537839</v>
      </c>
      <c r="E104" s="585">
        <v>39349</v>
      </c>
      <c r="F104" s="586">
        <v>1498490</v>
      </c>
      <c r="G104" s="586">
        <v>1518164.5</v>
      </c>
      <c r="H104" s="606">
        <v>214389.19300086203</v>
      </c>
      <c r="I104" s="607">
        <v>214389.19300086203</v>
      </c>
      <c r="J104" s="478">
        <f t="shared" si="22"/>
        <v>0</v>
      </c>
      <c r="K104" s="478"/>
      <c r="L104" s="476">
        <f>H104</f>
        <v>214389.19300086203</v>
      </c>
      <c r="M104" s="603">
        <f>IF(L104&lt;&gt;0,+H104-L104,0)</f>
        <v>0</v>
      </c>
      <c r="N104" s="476">
        <f>I104</f>
        <v>214389.19300086203</v>
      </c>
      <c r="O104" s="478">
        <f t="shared" si="19"/>
        <v>0</v>
      </c>
      <c r="P104" s="478">
        <f t="shared" si="20"/>
        <v>0</v>
      </c>
    </row>
    <row r="105" spans="1:16" ht="12.5">
      <c r="B105" s="160" t="str">
        <f t="shared" si="21"/>
        <v/>
      </c>
      <c r="C105" s="472">
        <f>IF(D93="","-",+C104+1)</f>
        <v>2021</v>
      </c>
      <c r="D105" s="346">
        <f>IF(F104+SUM(E$99:E104)=D$92,F104,D$92-SUM(E$99:E104))</f>
        <v>1498490</v>
      </c>
      <c r="E105" s="484">
        <f t="shared" ref="E105:E154" si="23">IF(+J$96&lt;F104,J$96,D105)</f>
        <v>41269</v>
      </c>
      <c r="F105" s="485">
        <f t="shared" ref="F105:F154" si="24">+D105-E105</f>
        <v>1457221</v>
      </c>
      <c r="G105" s="485">
        <f t="shared" ref="G105:G154" si="25">+(F105+D105)/2</f>
        <v>1477855.5</v>
      </c>
      <c r="H105" s="488">
        <f t="shared" ref="H105:H154" si="26">+J$94*G105+E105</f>
        <v>209438.30504191047</v>
      </c>
      <c r="I105" s="542">
        <f t="shared" ref="I105:I154" si="27">+J$95*G105+E105</f>
        <v>209438.30504191047</v>
      </c>
      <c r="J105" s="478">
        <f t="shared" si="22"/>
        <v>0</v>
      </c>
      <c r="K105" s="478"/>
      <c r="L105" s="487"/>
      <c r="M105" s="478">
        <f t="shared" si="18"/>
        <v>0</v>
      </c>
      <c r="N105" s="487"/>
      <c r="O105" s="478">
        <f t="shared" si="19"/>
        <v>0</v>
      </c>
      <c r="P105" s="478">
        <f t="shared" si="20"/>
        <v>0</v>
      </c>
    </row>
    <row r="106" spans="1:16" ht="12.5">
      <c r="B106" s="160" t="str">
        <f t="shared" si="21"/>
        <v/>
      </c>
      <c r="C106" s="472">
        <f>IF(D93="","-",+C105+1)</f>
        <v>2022</v>
      </c>
      <c r="D106" s="346">
        <f>IF(F105+SUM(E$99:E105)=D$92,F105,D$92-SUM(E$99:E105))</f>
        <v>1457221</v>
      </c>
      <c r="E106" s="484">
        <f t="shared" si="23"/>
        <v>41269</v>
      </c>
      <c r="F106" s="485">
        <f t="shared" si="24"/>
        <v>1415952</v>
      </c>
      <c r="G106" s="485">
        <f t="shared" si="25"/>
        <v>1436586.5</v>
      </c>
      <c r="H106" s="488">
        <f t="shared" si="26"/>
        <v>204742.19026629499</v>
      </c>
      <c r="I106" s="542">
        <f t="shared" si="27"/>
        <v>204742.19026629499</v>
      </c>
      <c r="J106" s="478">
        <f t="shared" si="22"/>
        <v>0</v>
      </c>
      <c r="K106" s="478"/>
      <c r="L106" s="487"/>
      <c r="M106" s="478">
        <f t="shared" si="18"/>
        <v>0</v>
      </c>
      <c r="N106" s="487"/>
      <c r="O106" s="478">
        <f t="shared" si="19"/>
        <v>0</v>
      </c>
      <c r="P106" s="478">
        <f t="shared" si="20"/>
        <v>0</v>
      </c>
    </row>
    <row r="107" spans="1:16" ht="12.5">
      <c r="B107" s="160" t="str">
        <f t="shared" si="21"/>
        <v/>
      </c>
      <c r="C107" s="472">
        <f>IF(D93="","-",+C106+1)</f>
        <v>2023</v>
      </c>
      <c r="D107" s="346">
        <f>IF(F106+SUM(E$99:E106)=D$92,F106,D$92-SUM(E$99:E106))</f>
        <v>1415952</v>
      </c>
      <c r="E107" s="484">
        <f t="shared" si="23"/>
        <v>41269</v>
      </c>
      <c r="F107" s="485">
        <f t="shared" si="24"/>
        <v>1374683</v>
      </c>
      <c r="G107" s="485">
        <f t="shared" si="25"/>
        <v>1395317.5</v>
      </c>
      <c r="H107" s="488">
        <f t="shared" si="26"/>
        <v>200046.0754906795</v>
      </c>
      <c r="I107" s="542">
        <f t="shared" si="27"/>
        <v>200046.0754906795</v>
      </c>
      <c r="J107" s="478">
        <f t="shared" si="22"/>
        <v>0</v>
      </c>
      <c r="K107" s="478"/>
      <c r="L107" s="487"/>
      <c r="M107" s="478">
        <f t="shared" si="18"/>
        <v>0</v>
      </c>
      <c r="N107" s="487"/>
      <c r="O107" s="478">
        <f t="shared" si="19"/>
        <v>0</v>
      </c>
      <c r="P107" s="478">
        <f t="shared" si="20"/>
        <v>0</v>
      </c>
    </row>
    <row r="108" spans="1:16" ht="12.5">
      <c r="B108" s="160" t="str">
        <f t="shared" si="21"/>
        <v/>
      </c>
      <c r="C108" s="472">
        <f>IF(D93="","-",+C107+1)</f>
        <v>2024</v>
      </c>
      <c r="D108" s="346">
        <f>IF(F107+SUM(E$99:E107)=D$92,F107,D$92-SUM(E$99:E107))</f>
        <v>1374683</v>
      </c>
      <c r="E108" s="484">
        <f t="shared" si="23"/>
        <v>41269</v>
      </c>
      <c r="F108" s="485">
        <f t="shared" si="24"/>
        <v>1333414</v>
      </c>
      <c r="G108" s="485">
        <f t="shared" si="25"/>
        <v>1354048.5</v>
      </c>
      <c r="H108" s="488">
        <f t="shared" si="26"/>
        <v>195349.96071506402</v>
      </c>
      <c r="I108" s="542">
        <f t="shared" si="27"/>
        <v>195349.96071506402</v>
      </c>
      <c r="J108" s="478">
        <f t="shared" si="22"/>
        <v>0</v>
      </c>
      <c r="K108" s="478"/>
      <c r="L108" s="487"/>
      <c r="M108" s="478">
        <f t="shared" si="18"/>
        <v>0</v>
      </c>
      <c r="N108" s="487"/>
      <c r="O108" s="478">
        <f t="shared" si="19"/>
        <v>0</v>
      </c>
      <c r="P108" s="478">
        <f t="shared" si="20"/>
        <v>0</v>
      </c>
    </row>
    <row r="109" spans="1:16" ht="12.5">
      <c r="B109" s="160" t="str">
        <f t="shared" si="21"/>
        <v/>
      </c>
      <c r="C109" s="472">
        <f>IF(D93="","-",+C108+1)</f>
        <v>2025</v>
      </c>
      <c r="D109" s="346">
        <f>IF(F108+SUM(E$99:E108)=D$92,F108,D$92-SUM(E$99:E108))</f>
        <v>1333414</v>
      </c>
      <c r="E109" s="484">
        <f t="shared" si="23"/>
        <v>41269</v>
      </c>
      <c r="F109" s="485">
        <f t="shared" si="24"/>
        <v>1292145</v>
      </c>
      <c r="G109" s="485">
        <f t="shared" si="25"/>
        <v>1312779.5</v>
      </c>
      <c r="H109" s="488">
        <f t="shared" si="26"/>
        <v>190653.84593944854</v>
      </c>
      <c r="I109" s="542">
        <f t="shared" si="27"/>
        <v>190653.84593944854</v>
      </c>
      <c r="J109" s="478">
        <f t="shared" si="22"/>
        <v>0</v>
      </c>
      <c r="K109" s="478"/>
      <c r="L109" s="487"/>
      <c r="M109" s="478">
        <f t="shared" si="18"/>
        <v>0</v>
      </c>
      <c r="N109" s="487"/>
      <c r="O109" s="478">
        <f t="shared" si="19"/>
        <v>0</v>
      </c>
      <c r="P109" s="478">
        <f t="shared" si="20"/>
        <v>0</v>
      </c>
    </row>
    <row r="110" spans="1:16" ht="12.5">
      <c r="B110" s="160" t="str">
        <f t="shared" si="21"/>
        <v/>
      </c>
      <c r="C110" s="472">
        <f>IF(D93="","-",+C109+1)</f>
        <v>2026</v>
      </c>
      <c r="D110" s="346">
        <f>IF(F109+SUM(E$99:E109)=D$92,F109,D$92-SUM(E$99:E109))</f>
        <v>1292145</v>
      </c>
      <c r="E110" s="484">
        <f t="shared" si="23"/>
        <v>41269</v>
      </c>
      <c r="F110" s="485">
        <f t="shared" si="24"/>
        <v>1250876</v>
      </c>
      <c r="G110" s="485">
        <f t="shared" si="25"/>
        <v>1271510.5</v>
      </c>
      <c r="H110" s="488">
        <f t="shared" si="26"/>
        <v>185957.73116383306</v>
      </c>
      <c r="I110" s="542">
        <f t="shared" si="27"/>
        <v>185957.73116383306</v>
      </c>
      <c r="J110" s="478">
        <f t="shared" si="22"/>
        <v>0</v>
      </c>
      <c r="K110" s="478"/>
      <c r="L110" s="487"/>
      <c r="M110" s="478">
        <f t="shared" si="18"/>
        <v>0</v>
      </c>
      <c r="N110" s="487"/>
      <c r="O110" s="478">
        <f t="shared" si="19"/>
        <v>0</v>
      </c>
      <c r="P110" s="478">
        <f t="shared" si="20"/>
        <v>0</v>
      </c>
    </row>
    <row r="111" spans="1:16" ht="12.5">
      <c r="B111" s="160" t="str">
        <f t="shared" si="21"/>
        <v/>
      </c>
      <c r="C111" s="472">
        <f>IF(D93="","-",+C110+1)</f>
        <v>2027</v>
      </c>
      <c r="D111" s="346">
        <f>IF(F110+SUM(E$99:E110)=D$92,F110,D$92-SUM(E$99:E110))</f>
        <v>1250876</v>
      </c>
      <c r="E111" s="484">
        <f t="shared" si="23"/>
        <v>41269</v>
      </c>
      <c r="F111" s="485">
        <f t="shared" si="24"/>
        <v>1209607</v>
      </c>
      <c r="G111" s="485">
        <f t="shared" si="25"/>
        <v>1230241.5</v>
      </c>
      <c r="H111" s="488">
        <f t="shared" si="26"/>
        <v>181261.61638821758</v>
      </c>
      <c r="I111" s="542">
        <f t="shared" si="27"/>
        <v>181261.61638821758</v>
      </c>
      <c r="J111" s="478">
        <f t="shared" si="22"/>
        <v>0</v>
      </c>
      <c r="K111" s="478"/>
      <c r="L111" s="487"/>
      <c r="M111" s="478">
        <f t="shared" si="18"/>
        <v>0</v>
      </c>
      <c r="N111" s="487"/>
      <c r="O111" s="478">
        <f t="shared" si="19"/>
        <v>0</v>
      </c>
      <c r="P111" s="478">
        <f t="shared" si="20"/>
        <v>0</v>
      </c>
    </row>
    <row r="112" spans="1:16" ht="12.5">
      <c r="B112" s="160" t="str">
        <f t="shared" si="21"/>
        <v/>
      </c>
      <c r="C112" s="472">
        <f>IF(D93="","-",+C111+1)</f>
        <v>2028</v>
      </c>
      <c r="D112" s="346">
        <f>IF(F111+SUM(E$99:E111)=D$92,F111,D$92-SUM(E$99:E111))</f>
        <v>1209607</v>
      </c>
      <c r="E112" s="484">
        <f t="shared" si="23"/>
        <v>41269</v>
      </c>
      <c r="F112" s="485">
        <f t="shared" si="24"/>
        <v>1168338</v>
      </c>
      <c r="G112" s="485">
        <f t="shared" si="25"/>
        <v>1188972.5</v>
      </c>
      <c r="H112" s="488">
        <f t="shared" si="26"/>
        <v>176565.50161260209</v>
      </c>
      <c r="I112" s="542">
        <f t="shared" si="27"/>
        <v>176565.50161260209</v>
      </c>
      <c r="J112" s="478">
        <f t="shared" si="22"/>
        <v>0</v>
      </c>
      <c r="K112" s="478"/>
      <c r="L112" s="487"/>
      <c r="M112" s="478">
        <f t="shared" si="18"/>
        <v>0</v>
      </c>
      <c r="N112" s="487"/>
      <c r="O112" s="478">
        <f t="shared" si="19"/>
        <v>0</v>
      </c>
      <c r="P112" s="478">
        <f t="shared" si="20"/>
        <v>0</v>
      </c>
    </row>
    <row r="113" spans="2:16" ht="12.5">
      <c r="B113" s="160" t="str">
        <f t="shared" si="21"/>
        <v/>
      </c>
      <c r="C113" s="472">
        <f>IF(D93="","-",+C112+1)</f>
        <v>2029</v>
      </c>
      <c r="D113" s="346">
        <f>IF(F112+SUM(E$99:E112)=D$92,F112,D$92-SUM(E$99:E112))</f>
        <v>1168338</v>
      </c>
      <c r="E113" s="484">
        <f t="shared" si="23"/>
        <v>41269</v>
      </c>
      <c r="F113" s="485">
        <f t="shared" si="24"/>
        <v>1127069</v>
      </c>
      <c r="G113" s="485">
        <f t="shared" si="25"/>
        <v>1147703.5</v>
      </c>
      <c r="H113" s="488">
        <f t="shared" si="26"/>
        <v>171869.38683698664</v>
      </c>
      <c r="I113" s="542">
        <f t="shared" si="27"/>
        <v>171869.38683698664</v>
      </c>
      <c r="J113" s="478">
        <f t="shared" si="22"/>
        <v>0</v>
      </c>
      <c r="K113" s="478"/>
      <c r="L113" s="487"/>
      <c r="M113" s="478">
        <f t="shared" si="18"/>
        <v>0</v>
      </c>
      <c r="N113" s="487"/>
      <c r="O113" s="478">
        <f t="shared" si="19"/>
        <v>0</v>
      </c>
      <c r="P113" s="478">
        <f t="shared" si="20"/>
        <v>0</v>
      </c>
    </row>
    <row r="114" spans="2:16" ht="12.5">
      <c r="B114" s="160" t="str">
        <f t="shared" si="21"/>
        <v/>
      </c>
      <c r="C114" s="472">
        <f>IF(D93="","-",+C113+1)</f>
        <v>2030</v>
      </c>
      <c r="D114" s="346">
        <f>IF(F113+SUM(E$99:E113)=D$92,F113,D$92-SUM(E$99:E113))</f>
        <v>1127069</v>
      </c>
      <c r="E114" s="484">
        <f t="shared" si="23"/>
        <v>41269</v>
      </c>
      <c r="F114" s="485">
        <f t="shared" si="24"/>
        <v>1085800</v>
      </c>
      <c r="G114" s="485">
        <f t="shared" si="25"/>
        <v>1106434.5</v>
      </c>
      <c r="H114" s="488">
        <f t="shared" si="26"/>
        <v>167173.27206137113</v>
      </c>
      <c r="I114" s="542">
        <f t="shared" si="27"/>
        <v>167173.27206137113</v>
      </c>
      <c r="J114" s="478">
        <f t="shared" si="22"/>
        <v>0</v>
      </c>
      <c r="K114" s="478"/>
      <c r="L114" s="487"/>
      <c r="M114" s="478">
        <f t="shared" si="18"/>
        <v>0</v>
      </c>
      <c r="N114" s="487"/>
      <c r="O114" s="478">
        <f t="shared" si="19"/>
        <v>0</v>
      </c>
      <c r="P114" s="478">
        <f t="shared" si="20"/>
        <v>0</v>
      </c>
    </row>
    <row r="115" spans="2:16" ht="12.5">
      <c r="B115" s="160" t="str">
        <f t="shared" si="21"/>
        <v/>
      </c>
      <c r="C115" s="472">
        <f>IF(D93="","-",+C114+1)</f>
        <v>2031</v>
      </c>
      <c r="D115" s="346">
        <f>IF(F114+SUM(E$99:E114)=D$92,F114,D$92-SUM(E$99:E114))</f>
        <v>1085800</v>
      </c>
      <c r="E115" s="484">
        <f t="shared" si="23"/>
        <v>41269</v>
      </c>
      <c r="F115" s="485">
        <f t="shared" si="24"/>
        <v>1044531</v>
      </c>
      <c r="G115" s="485">
        <f t="shared" si="25"/>
        <v>1065165.5</v>
      </c>
      <c r="H115" s="488">
        <f t="shared" si="26"/>
        <v>162477.15728575567</v>
      </c>
      <c r="I115" s="542">
        <f t="shared" si="27"/>
        <v>162477.15728575567</v>
      </c>
      <c r="J115" s="478">
        <f t="shared" si="22"/>
        <v>0</v>
      </c>
      <c r="K115" s="478"/>
      <c r="L115" s="487"/>
      <c r="M115" s="478">
        <f t="shared" si="18"/>
        <v>0</v>
      </c>
      <c r="N115" s="487"/>
      <c r="O115" s="478">
        <f t="shared" si="19"/>
        <v>0</v>
      </c>
      <c r="P115" s="478">
        <f t="shared" si="20"/>
        <v>0</v>
      </c>
    </row>
    <row r="116" spans="2:16" ht="12.5">
      <c r="B116" s="160" t="str">
        <f t="shared" si="21"/>
        <v/>
      </c>
      <c r="C116" s="472">
        <f>IF(D93="","-",+C115+1)</f>
        <v>2032</v>
      </c>
      <c r="D116" s="346">
        <f>IF(F115+SUM(E$99:E115)=D$92,F115,D$92-SUM(E$99:E115))</f>
        <v>1044531</v>
      </c>
      <c r="E116" s="484">
        <f t="shared" si="23"/>
        <v>41269</v>
      </c>
      <c r="F116" s="485">
        <f t="shared" si="24"/>
        <v>1003262</v>
      </c>
      <c r="G116" s="485">
        <f t="shared" si="25"/>
        <v>1023896.5</v>
      </c>
      <c r="H116" s="488">
        <f t="shared" si="26"/>
        <v>157781.04251014016</v>
      </c>
      <c r="I116" s="542">
        <f t="shared" si="27"/>
        <v>157781.04251014016</v>
      </c>
      <c r="J116" s="478">
        <f t="shared" si="22"/>
        <v>0</v>
      </c>
      <c r="K116" s="478"/>
      <c r="L116" s="487"/>
      <c r="M116" s="478">
        <f t="shared" si="18"/>
        <v>0</v>
      </c>
      <c r="N116" s="487"/>
      <c r="O116" s="478">
        <f t="shared" si="19"/>
        <v>0</v>
      </c>
      <c r="P116" s="478">
        <f t="shared" si="20"/>
        <v>0</v>
      </c>
    </row>
    <row r="117" spans="2:16" ht="12.5">
      <c r="B117" s="160" t="str">
        <f t="shared" si="21"/>
        <v/>
      </c>
      <c r="C117" s="472">
        <f>IF(D93="","-",+C116+1)</f>
        <v>2033</v>
      </c>
      <c r="D117" s="346">
        <f>IF(F116+SUM(E$99:E116)=D$92,F116,D$92-SUM(E$99:E116))</f>
        <v>1003262</v>
      </c>
      <c r="E117" s="484">
        <f t="shared" si="23"/>
        <v>41269</v>
      </c>
      <c r="F117" s="485">
        <f t="shared" si="24"/>
        <v>961993</v>
      </c>
      <c r="G117" s="485">
        <f t="shared" si="25"/>
        <v>982627.5</v>
      </c>
      <c r="H117" s="488">
        <f t="shared" si="26"/>
        <v>153084.92773452471</v>
      </c>
      <c r="I117" s="542">
        <f t="shared" si="27"/>
        <v>153084.92773452471</v>
      </c>
      <c r="J117" s="478">
        <f t="shared" si="22"/>
        <v>0</v>
      </c>
      <c r="K117" s="478"/>
      <c r="L117" s="487"/>
      <c r="M117" s="478">
        <f t="shared" si="18"/>
        <v>0</v>
      </c>
      <c r="N117" s="487"/>
      <c r="O117" s="478">
        <f t="shared" si="19"/>
        <v>0</v>
      </c>
      <c r="P117" s="478">
        <f t="shared" si="20"/>
        <v>0</v>
      </c>
    </row>
    <row r="118" spans="2:16" ht="12.5">
      <c r="B118" s="160" t="str">
        <f t="shared" si="21"/>
        <v/>
      </c>
      <c r="C118" s="472">
        <f>IF(D93="","-",+C117+1)</f>
        <v>2034</v>
      </c>
      <c r="D118" s="346">
        <f>IF(F117+SUM(E$99:E117)=D$92,F117,D$92-SUM(E$99:E117))</f>
        <v>961993</v>
      </c>
      <c r="E118" s="484">
        <f t="shared" si="23"/>
        <v>41269</v>
      </c>
      <c r="F118" s="485">
        <f t="shared" si="24"/>
        <v>920724</v>
      </c>
      <c r="G118" s="485">
        <f t="shared" si="25"/>
        <v>941358.5</v>
      </c>
      <c r="H118" s="488">
        <f t="shared" si="26"/>
        <v>148388.81295890923</v>
      </c>
      <c r="I118" s="542">
        <f t="shared" si="27"/>
        <v>148388.81295890923</v>
      </c>
      <c r="J118" s="478">
        <f t="shared" si="22"/>
        <v>0</v>
      </c>
      <c r="K118" s="478"/>
      <c r="L118" s="487"/>
      <c r="M118" s="478">
        <f t="shared" si="18"/>
        <v>0</v>
      </c>
      <c r="N118" s="487"/>
      <c r="O118" s="478">
        <f t="shared" si="19"/>
        <v>0</v>
      </c>
      <c r="P118" s="478">
        <f t="shared" si="20"/>
        <v>0</v>
      </c>
    </row>
    <row r="119" spans="2:16" ht="12.5">
      <c r="B119" s="160" t="str">
        <f t="shared" si="21"/>
        <v/>
      </c>
      <c r="C119" s="472">
        <f>IF(D93="","-",+C118+1)</f>
        <v>2035</v>
      </c>
      <c r="D119" s="346">
        <f>IF(F118+SUM(E$99:E118)=D$92,F118,D$92-SUM(E$99:E118))</f>
        <v>920724</v>
      </c>
      <c r="E119" s="484">
        <f t="shared" si="23"/>
        <v>41269</v>
      </c>
      <c r="F119" s="485">
        <f t="shared" si="24"/>
        <v>879455</v>
      </c>
      <c r="G119" s="485">
        <f t="shared" si="25"/>
        <v>900089.5</v>
      </c>
      <c r="H119" s="488">
        <f t="shared" si="26"/>
        <v>143692.69818329375</v>
      </c>
      <c r="I119" s="542">
        <f t="shared" si="27"/>
        <v>143692.69818329375</v>
      </c>
      <c r="J119" s="478">
        <f t="shared" si="22"/>
        <v>0</v>
      </c>
      <c r="K119" s="478"/>
      <c r="L119" s="487"/>
      <c r="M119" s="478">
        <f t="shared" si="18"/>
        <v>0</v>
      </c>
      <c r="N119" s="487"/>
      <c r="O119" s="478">
        <f t="shared" si="19"/>
        <v>0</v>
      </c>
      <c r="P119" s="478">
        <f t="shared" si="20"/>
        <v>0</v>
      </c>
    </row>
    <row r="120" spans="2:16" ht="12.5">
      <c r="B120" s="160" t="str">
        <f t="shared" si="21"/>
        <v/>
      </c>
      <c r="C120" s="472">
        <f>IF(D93="","-",+C119+1)</f>
        <v>2036</v>
      </c>
      <c r="D120" s="346">
        <f>IF(F119+SUM(E$99:E119)=D$92,F119,D$92-SUM(E$99:E119))</f>
        <v>879455</v>
      </c>
      <c r="E120" s="484">
        <f t="shared" si="23"/>
        <v>41269</v>
      </c>
      <c r="F120" s="485">
        <f t="shared" si="24"/>
        <v>838186</v>
      </c>
      <c r="G120" s="485">
        <f t="shared" si="25"/>
        <v>858820.5</v>
      </c>
      <c r="H120" s="488">
        <f t="shared" si="26"/>
        <v>138996.58340767826</v>
      </c>
      <c r="I120" s="542">
        <f t="shared" si="27"/>
        <v>138996.58340767826</v>
      </c>
      <c r="J120" s="478">
        <f t="shared" si="22"/>
        <v>0</v>
      </c>
      <c r="K120" s="478"/>
      <c r="L120" s="487"/>
      <c r="M120" s="478">
        <f t="shared" si="18"/>
        <v>0</v>
      </c>
      <c r="N120" s="487"/>
      <c r="O120" s="478">
        <f t="shared" si="19"/>
        <v>0</v>
      </c>
      <c r="P120" s="478">
        <f t="shared" si="20"/>
        <v>0</v>
      </c>
    </row>
    <row r="121" spans="2:16" ht="12.5">
      <c r="B121" s="160" t="str">
        <f t="shared" si="21"/>
        <v/>
      </c>
      <c r="C121" s="472">
        <f>IF(D93="","-",+C120+1)</f>
        <v>2037</v>
      </c>
      <c r="D121" s="346">
        <f>IF(F120+SUM(E$99:E120)=D$92,F120,D$92-SUM(E$99:E120))</f>
        <v>838186</v>
      </c>
      <c r="E121" s="484">
        <f t="shared" si="23"/>
        <v>41269</v>
      </c>
      <c r="F121" s="485">
        <f t="shared" si="24"/>
        <v>796917</v>
      </c>
      <c r="G121" s="485">
        <f t="shared" si="25"/>
        <v>817551.5</v>
      </c>
      <c r="H121" s="488">
        <f t="shared" si="26"/>
        <v>134300.46863206278</v>
      </c>
      <c r="I121" s="542">
        <f t="shared" si="27"/>
        <v>134300.46863206278</v>
      </c>
      <c r="J121" s="478">
        <f t="shared" si="22"/>
        <v>0</v>
      </c>
      <c r="K121" s="478"/>
      <c r="L121" s="487"/>
      <c r="M121" s="478">
        <f t="shared" si="18"/>
        <v>0</v>
      </c>
      <c r="N121" s="487"/>
      <c r="O121" s="478">
        <f t="shared" si="19"/>
        <v>0</v>
      </c>
      <c r="P121" s="478">
        <f t="shared" si="20"/>
        <v>0</v>
      </c>
    </row>
    <row r="122" spans="2:16" ht="12.5">
      <c r="B122" s="160" t="str">
        <f t="shared" si="21"/>
        <v/>
      </c>
      <c r="C122" s="472">
        <f>IF(D93="","-",+C121+1)</f>
        <v>2038</v>
      </c>
      <c r="D122" s="346">
        <f>IF(F121+SUM(E$99:E121)=D$92,F121,D$92-SUM(E$99:E121))</f>
        <v>796917</v>
      </c>
      <c r="E122" s="484">
        <f t="shared" si="23"/>
        <v>41269</v>
      </c>
      <c r="F122" s="485">
        <f t="shared" si="24"/>
        <v>755648</v>
      </c>
      <c r="G122" s="485">
        <f t="shared" si="25"/>
        <v>776282.5</v>
      </c>
      <c r="H122" s="488">
        <f t="shared" si="26"/>
        <v>129604.3538564473</v>
      </c>
      <c r="I122" s="542">
        <f t="shared" si="27"/>
        <v>129604.3538564473</v>
      </c>
      <c r="J122" s="478">
        <f t="shared" si="22"/>
        <v>0</v>
      </c>
      <c r="K122" s="478"/>
      <c r="L122" s="487"/>
      <c r="M122" s="478">
        <f t="shared" si="18"/>
        <v>0</v>
      </c>
      <c r="N122" s="487"/>
      <c r="O122" s="478">
        <f t="shared" si="19"/>
        <v>0</v>
      </c>
      <c r="P122" s="478">
        <f t="shared" si="20"/>
        <v>0</v>
      </c>
    </row>
    <row r="123" spans="2:16" ht="12.5">
      <c r="B123" s="160" t="str">
        <f t="shared" si="21"/>
        <v/>
      </c>
      <c r="C123" s="472">
        <f>IF(D93="","-",+C122+1)</f>
        <v>2039</v>
      </c>
      <c r="D123" s="346">
        <f>IF(F122+SUM(E$99:E122)=D$92,F122,D$92-SUM(E$99:E122))</f>
        <v>755648</v>
      </c>
      <c r="E123" s="484">
        <f t="shared" si="23"/>
        <v>41269</v>
      </c>
      <c r="F123" s="485">
        <f t="shared" si="24"/>
        <v>714379</v>
      </c>
      <c r="G123" s="485">
        <f t="shared" si="25"/>
        <v>735013.5</v>
      </c>
      <c r="H123" s="488">
        <f t="shared" si="26"/>
        <v>124908.23908083182</v>
      </c>
      <c r="I123" s="542">
        <f t="shared" si="27"/>
        <v>124908.23908083182</v>
      </c>
      <c r="J123" s="478">
        <f t="shared" si="22"/>
        <v>0</v>
      </c>
      <c r="K123" s="478"/>
      <c r="L123" s="487"/>
      <c r="M123" s="478">
        <f t="shared" si="18"/>
        <v>0</v>
      </c>
      <c r="N123" s="487"/>
      <c r="O123" s="478">
        <f t="shared" si="19"/>
        <v>0</v>
      </c>
      <c r="P123" s="478">
        <f t="shared" si="20"/>
        <v>0</v>
      </c>
    </row>
    <row r="124" spans="2:16" ht="12.5">
      <c r="B124" s="160" t="str">
        <f t="shared" si="21"/>
        <v/>
      </c>
      <c r="C124" s="472">
        <f>IF(D93="","-",+C123+1)</f>
        <v>2040</v>
      </c>
      <c r="D124" s="346">
        <f>IF(F123+SUM(E$99:E123)=D$92,F123,D$92-SUM(E$99:E123))</f>
        <v>714379</v>
      </c>
      <c r="E124" s="484">
        <f t="shared" si="23"/>
        <v>41269</v>
      </c>
      <c r="F124" s="485">
        <f t="shared" si="24"/>
        <v>673110</v>
      </c>
      <c r="G124" s="485">
        <f t="shared" si="25"/>
        <v>693744.5</v>
      </c>
      <c r="H124" s="488">
        <f t="shared" si="26"/>
        <v>120212.12430521635</v>
      </c>
      <c r="I124" s="542">
        <f t="shared" si="27"/>
        <v>120212.12430521635</v>
      </c>
      <c r="J124" s="478">
        <f t="shared" si="22"/>
        <v>0</v>
      </c>
      <c r="K124" s="478"/>
      <c r="L124" s="487"/>
      <c r="M124" s="478">
        <f t="shared" si="18"/>
        <v>0</v>
      </c>
      <c r="N124" s="487"/>
      <c r="O124" s="478">
        <f t="shared" si="19"/>
        <v>0</v>
      </c>
      <c r="P124" s="478">
        <f t="shared" si="20"/>
        <v>0</v>
      </c>
    </row>
    <row r="125" spans="2:16" ht="12.5">
      <c r="B125" s="160" t="str">
        <f t="shared" si="21"/>
        <v/>
      </c>
      <c r="C125" s="472">
        <f>IF(D93="","-",+C124+1)</f>
        <v>2041</v>
      </c>
      <c r="D125" s="346">
        <f>IF(F124+SUM(E$99:E124)=D$92,F124,D$92-SUM(E$99:E124))</f>
        <v>673110</v>
      </c>
      <c r="E125" s="484">
        <f t="shared" si="23"/>
        <v>41269</v>
      </c>
      <c r="F125" s="485">
        <f t="shared" si="24"/>
        <v>631841</v>
      </c>
      <c r="G125" s="485">
        <f t="shared" si="25"/>
        <v>652475.5</v>
      </c>
      <c r="H125" s="488">
        <f t="shared" si="26"/>
        <v>115516.00952960087</v>
      </c>
      <c r="I125" s="542">
        <f t="shared" si="27"/>
        <v>115516.00952960087</v>
      </c>
      <c r="J125" s="478">
        <f t="shared" si="22"/>
        <v>0</v>
      </c>
      <c r="K125" s="478"/>
      <c r="L125" s="487"/>
      <c r="M125" s="478">
        <f t="shared" si="18"/>
        <v>0</v>
      </c>
      <c r="N125" s="487"/>
      <c r="O125" s="478">
        <f t="shared" si="19"/>
        <v>0</v>
      </c>
      <c r="P125" s="478">
        <f t="shared" si="20"/>
        <v>0</v>
      </c>
    </row>
    <row r="126" spans="2:16" ht="12.5">
      <c r="B126" s="160" t="str">
        <f t="shared" si="21"/>
        <v/>
      </c>
      <c r="C126" s="472">
        <f>IF(D93="","-",+C125+1)</f>
        <v>2042</v>
      </c>
      <c r="D126" s="346">
        <f>IF(F125+SUM(E$99:E125)=D$92,F125,D$92-SUM(E$99:E125))</f>
        <v>631841</v>
      </c>
      <c r="E126" s="484">
        <f t="shared" si="23"/>
        <v>41269</v>
      </c>
      <c r="F126" s="485">
        <f t="shared" si="24"/>
        <v>590572</v>
      </c>
      <c r="G126" s="485">
        <f t="shared" si="25"/>
        <v>611206.5</v>
      </c>
      <c r="H126" s="488">
        <f t="shared" si="26"/>
        <v>110819.89475398538</v>
      </c>
      <c r="I126" s="542">
        <f t="shared" si="27"/>
        <v>110819.89475398538</v>
      </c>
      <c r="J126" s="478">
        <f t="shared" si="22"/>
        <v>0</v>
      </c>
      <c r="K126" s="478"/>
      <c r="L126" s="487"/>
      <c r="M126" s="478">
        <f t="shared" si="18"/>
        <v>0</v>
      </c>
      <c r="N126" s="487"/>
      <c r="O126" s="478">
        <f t="shared" si="19"/>
        <v>0</v>
      </c>
      <c r="P126" s="478">
        <f t="shared" si="20"/>
        <v>0</v>
      </c>
    </row>
    <row r="127" spans="2:16" ht="12.5">
      <c r="B127" s="160" t="str">
        <f t="shared" si="21"/>
        <v/>
      </c>
      <c r="C127" s="472">
        <f>IF(D93="","-",+C126+1)</f>
        <v>2043</v>
      </c>
      <c r="D127" s="346">
        <f>IF(F126+SUM(E$99:E126)=D$92,F126,D$92-SUM(E$99:E126))</f>
        <v>590572</v>
      </c>
      <c r="E127" s="484">
        <f t="shared" si="23"/>
        <v>41269</v>
      </c>
      <c r="F127" s="485">
        <f t="shared" si="24"/>
        <v>549303</v>
      </c>
      <c r="G127" s="485">
        <f t="shared" si="25"/>
        <v>569937.5</v>
      </c>
      <c r="H127" s="488">
        <f t="shared" si="26"/>
        <v>106123.7799783699</v>
      </c>
      <c r="I127" s="542">
        <f t="shared" si="27"/>
        <v>106123.7799783699</v>
      </c>
      <c r="J127" s="478">
        <f t="shared" si="22"/>
        <v>0</v>
      </c>
      <c r="K127" s="478"/>
      <c r="L127" s="487"/>
      <c r="M127" s="478">
        <f t="shared" si="18"/>
        <v>0</v>
      </c>
      <c r="N127" s="487"/>
      <c r="O127" s="478">
        <f t="shared" si="19"/>
        <v>0</v>
      </c>
      <c r="P127" s="478">
        <f t="shared" si="20"/>
        <v>0</v>
      </c>
    </row>
    <row r="128" spans="2:16" ht="12.5">
      <c r="B128" s="160" t="str">
        <f t="shared" si="21"/>
        <v/>
      </c>
      <c r="C128" s="472">
        <f>IF(D93="","-",+C127+1)</f>
        <v>2044</v>
      </c>
      <c r="D128" s="346">
        <f>IF(F127+SUM(E$99:E127)=D$92,F127,D$92-SUM(E$99:E127))</f>
        <v>549303</v>
      </c>
      <c r="E128" s="484">
        <f t="shared" si="23"/>
        <v>41269</v>
      </c>
      <c r="F128" s="485">
        <f t="shared" si="24"/>
        <v>508034</v>
      </c>
      <c r="G128" s="485">
        <f t="shared" si="25"/>
        <v>528668.5</v>
      </c>
      <c r="H128" s="488">
        <f t="shared" si="26"/>
        <v>101427.66520275443</v>
      </c>
      <c r="I128" s="542">
        <f t="shared" si="27"/>
        <v>101427.66520275443</v>
      </c>
      <c r="J128" s="478">
        <f t="shared" si="22"/>
        <v>0</v>
      </c>
      <c r="K128" s="478"/>
      <c r="L128" s="487"/>
      <c r="M128" s="478">
        <f t="shared" si="18"/>
        <v>0</v>
      </c>
      <c r="N128" s="487"/>
      <c r="O128" s="478">
        <f t="shared" si="19"/>
        <v>0</v>
      </c>
      <c r="P128" s="478">
        <f t="shared" si="20"/>
        <v>0</v>
      </c>
    </row>
    <row r="129" spans="2:16" ht="12.5">
      <c r="B129" s="160" t="str">
        <f t="shared" si="21"/>
        <v/>
      </c>
      <c r="C129" s="472">
        <f>IF(D93="","-",+C128+1)</f>
        <v>2045</v>
      </c>
      <c r="D129" s="346">
        <f>IF(F128+SUM(E$99:E128)=D$92,F128,D$92-SUM(E$99:E128))</f>
        <v>508034</v>
      </c>
      <c r="E129" s="484">
        <f t="shared" si="23"/>
        <v>41269</v>
      </c>
      <c r="F129" s="485">
        <f t="shared" si="24"/>
        <v>466765</v>
      </c>
      <c r="G129" s="485">
        <f t="shared" si="25"/>
        <v>487399.5</v>
      </c>
      <c r="H129" s="488">
        <f t="shared" si="26"/>
        <v>96731.550427138951</v>
      </c>
      <c r="I129" s="542">
        <f t="shared" si="27"/>
        <v>96731.550427138951</v>
      </c>
      <c r="J129" s="478">
        <f t="shared" si="22"/>
        <v>0</v>
      </c>
      <c r="K129" s="478"/>
      <c r="L129" s="487"/>
      <c r="M129" s="478">
        <f t="shared" si="18"/>
        <v>0</v>
      </c>
      <c r="N129" s="487"/>
      <c r="O129" s="478">
        <f t="shared" si="19"/>
        <v>0</v>
      </c>
      <c r="P129" s="478">
        <f t="shared" si="20"/>
        <v>0</v>
      </c>
    </row>
    <row r="130" spans="2:16" ht="12.5">
      <c r="B130" s="160" t="str">
        <f t="shared" si="21"/>
        <v/>
      </c>
      <c r="C130" s="472">
        <f>IF(D93="","-",+C129+1)</f>
        <v>2046</v>
      </c>
      <c r="D130" s="346">
        <f>IF(F129+SUM(E$99:E129)=D$92,F129,D$92-SUM(E$99:E129))</f>
        <v>466765</v>
      </c>
      <c r="E130" s="484">
        <f t="shared" si="23"/>
        <v>41269</v>
      </c>
      <c r="F130" s="485">
        <f t="shared" si="24"/>
        <v>425496</v>
      </c>
      <c r="G130" s="485">
        <f t="shared" si="25"/>
        <v>446130.5</v>
      </c>
      <c r="H130" s="488">
        <f t="shared" si="26"/>
        <v>92035.435651523469</v>
      </c>
      <c r="I130" s="542">
        <f t="shared" si="27"/>
        <v>92035.435651523469</v>
      </c>
      <c r="J130" s="478">
        <f t="shared" si="22"/>
        <v>0</v>
      </c>
      <c r="K130" s="478"/>
      <c r="L130" s="487"/>
      <c r="M130" s="478">
        <f t="shared" si="18"/>
        <v>0</v>
      </c>
      <c r="N130" s="487"/>
      <c r="O130" s="478">
        <f t="shared" si="19"/>
        <v>0</v>
      </c>
      <c r="P130" s="478">
        <f t="shared" si="20"/>
        <v>0</v>
      </c>
    </row>
    <row r="131" spans="2:16" ht="12.5">
      <c r="B131" s="160" t="str">
        <f t="shared" si="21"/>
        <v/>
      </c>
      <c r="C131" s="472">
        <f>IF(D93="","-",+C130+1)</f>
        <v>2047</v>
      </c>
      <c r="D131" s="346">
        <f>IF(F130+SUM(E$99:E130)=D$92,F130,D$92-SUM(E$99:E130))</f>
        <v>425496</v>
      </c>
      <c r="E131" s="484">
        <f t="shared" si="23"/>
        <v>41269</v>
      </c>
      <c r="F131" s="485">
        <f t="shared" si="24"/>
        <v>384227</v>
      </c>
      <c r="G131" s="485">
        <f t="shared" si="25"/>
        <v>404861.5</v>
      </c>
      <c r="H131" s="488">
        <f t="shared" si="26"/>
        <v>87339.320875907986</v>
      </c>
      <c r="I131" s="542">
        <f t="shared" si="27"/>
        <v>87339.320875907986</v>
      </c>
      <c r="J131" s="478">
        <f t="shared" si="22"/>
        <v>0</v>
      </c>
      <c r="K131" s="478"/>
      <c r="L131" s="487"/>
      <c r="M131" s="478">
        <f t="shared" ref="M131:M154" si="28">IF(L541&lt;&gt;0,+H541-L541,0)</f>
        <v>0</v>
      </c>
      <c r="N131" s="487"/>
      <c r="O131" s="478">
        <f t="shared" ref="O131:O154" si="29">IF(N541&lt;&gt;0,+I541-N541,0)</f>
        <v>0</v>
      </c>
      <c r="P131" s="478">
        <f t="shared" ref="P131:P154" si="30">+O541-M541</f>
        <v>0</v>
      </c>
    </row>
    <row r="132" spans="2:16" ht="12.5">
      <c r="B132" s="160" t="str">
        <f t="shared" si="21"/>
        <v/>
      </c>
      <c r="C132" s="472">
        <f>IF(D93="","-",+C131+1)</f>
        <v>2048</v>
      </c>
      <c r="D132" s="346">
        <f>IF(F131+SUM(E$99:E131)=D$92,F131,D$92-SUM(E$99:E131))</f>
        <v>384227</v>
      </c>
      <c r="E132" s="484">
        <f t="shared" si="23"/>
        <v>41269</v>
      </c>
      <c r="F132" s="485">
        <f t="shared" si="24"/>
        <v>342958</v>
      </c>
      <c r="G132" s="485">
        <f t="shared" si="25"/>
        <v>363592.5</v>
      </c>
      <c r="H132" s="488">
        <f t="shared" si="26"/>
        <v>82643.206100292504</v>
      </c>
      <c r="I132" s="542">
        <f t="shared" si="27"/>
        <v>82643.206100292504</v>
      </c>
      <c r="J132" s="478">
        <f t="shared" si="22"/>
        <v>0</v>
      </c>
      <c r="K132" s="478"/>
      <c r="L132" s="487"/>
      <c r="M132" s="478">
        <f t="shared" si="28"/>
        <v>0</v>
      </c>
      <c r="N132" s="487"/>
      <c r="O132" s="478">
        <f t="shared" si="29"/>
        <v>0</v>
      </c>
      <c r="P132" s="478">
        <f t="shared" si="30"/>
        <v>0</v>
      </c>
    </row>
    <row r="133" spans="2:16" ht="12.5">
      <c r="B133" s="160" t="str">
        <f t="shared" si="21"/>
        <v/>
      </c>
      <c r="C133" s="472">
        <f>IF(D93="","-",+C132+1)</f>
        <v>2049</v>
      </c>
      <c r="D133" s="346">
        <f>IF(F132+SUM(E$99:E132)=D$92,F132,D$92-SUM(E$99:E132))</f>
        <v>342958</v>
      </c>
      <c r="E133" s="484">
        <f t="shared" si="23"/>
        <v>41269</v>
      </c>
      <c r="F133" s="485">
        <f t="shared" si="24"/>
        <v>301689</v>
      </c>
      <c r="G133" s="485">
        <f t="shared" si="25"/>
        <v>322323.5</v>
      </c>
      <c r="H133" s="488">
        <f t="shared" si="26"/>
        <v>77947.091324677021</v>
      </c>
      <c r="I133" s="542">
        <f t="shared" si="27"/>
        <v>77947.091324677021</v>
      </c>
      <c r="J133" s="478">
        <f t="shared" si="22"/>
        <v>0</v>
      </c>
      <c r="K133" s="478"/>
      <c r="L133" s="487"/>
      <c r="M133" s="478">
        <f t="shared" si="28"/>
        <v>0</v>
      </c>
      <c r="N133" s="487"/>
      <c r="O133" s="478">
        <f t="shared" si="29"/>
        <v>0</v>
      </c>
      <c r="P133" s="478">
        <f t="shared" si="30"/>
        <v>0</v>
      </c>
    </row>
    <row r="134" spans="2:16" ht="12.5">
      <c r="B134" s="160" t="str">
        <f t="shared" si="21"/>
        <v/>
      </c>
      <c r="C134" s="472">
        <f>IF(D93="","-",+C133+1)</f>
        <v>2050</v>
      </c>
      <c r="D134" s="346">
        <f>IF(F133+SUM(E$99:E133)=D$92,F133,D$92-SUM(E$99:E133))</f>
        <v>301689</v>
      </c>
      <c r="E134" s="484">
        <f t="shared" si="23"/>
        <v>41269</v>
      </c>
      <c r="F134" s="485">
        <f t="shared" si="24"/>
        <v>260420</v>
      </c>
      <c r="G134" s="485">
        <f t="shared" si="25"/>
        <v>281054.5</v>
      </c>
      <c r="H134" s="488">
        <f t="shared" si="26"/>
        <v>73250.976549061539</v>
      </c>
      <c r="I134" s="542">
        <f t="shared" si="27"/>
        <v>73250.976549061539</v>
      </c>
      <c r="J134" s="478">
        <f t="shared" si="22"/>
        <v>0</v>
      </c>
      <c r="K134" s="478"/>
      <c r="L134" s="487"/>
      <c r="M134" s="478">
        <f t="shared" si="28"/>
        <v>0</v>
      </c>
      <c r="N134" s="487"/>
      <c r="O134" s="478">
        <f t="shared" si="29"/>
        <v>0</v>
      </c>
      <c r="P134" s="478">
        <f t="shared" si="30"/>
        <v>0</v>
      </c>
    </row>
    <row r="135" spans="2:16" ht="12.5">
      <c r="B135" s="160" t="str">
        <f t="shared" si="21"/>
        <v/>
      </c>
      <c r="C135" s="472">
        <f>IF(D93="","-",+C134+1)</f>
        <v>2051</v>
      </c>
      <c r="D135" s="346">
        <f>IF(F134+SUM(E$99:E134)=D$92,F134,D$92-SUM(E$99:E134))</f>
        <v>260420</v>
      </c>
      <c r="E135" s="484">
        <f t="shared" si="23"/>
        <v>41269</v>
      </c>
      <c r="F135" s="485">
        <f t="shared" si="24"/>
        <v>219151</v>
      </c>
      <c r="G135" s="485">
        <f t="shared" si="25"/>
        <v>239785.5</v>
      </c>
      <c r="H135" s="488">
        <f t="shared" si="26"/>
        <v>68554.861773446057</v>
      </c>
      <c r="I135" s="542">
        <f t="shared" si="27"/>
        <v>68554.861773446057</v>
      </c>
      <c r="J135" s="478">
        <f t="shared" si="22"/>
        <v>0</v>
      </c>
      <c r="K135" s="478"/>
      <c r="L135" s="487"/>
      <c r="M135" s="478">
        <f t="shared" si="28"/>
        <v>0</v>
      </c>
      <c r="N135" s="487"/>
      <c r="O135" s="478">
        <f t="shared" si="29"/>
        <v>0</v>
      </c>
      <c r="P135" s="478">
        <f t="shared" si="30"/>
        <v>0</v>
      </c>
    </row>
    <row r="136" spans="2:16" ht="12.5">
      <c r="B136" s="160" t="str">
        <f t="shared" si="21"/>
        <v/>
      </c>
      <c r="C136" s="472">
        <f>IF(D93="","-",+C135+1)</f>
        <v>2052</v>
      </c>
      <c r="D136" s="346">
        <f>IF(F135+SUM(E$99:E135)=D$92,F135,D$92-SUM(E$99:E135))</f>
        <v>219151</v>
      </c>
      <c r="E136" s="484">
        <f t="shared" si="23"/>
        <v>41269</v>
      </c>
      <c r="F136" s="485">
        <f t="shared" si="24"/>
        <v>177882</v>
      </c>
      <c r="G136" s="485">
        <f t="shared" si="25"/>
        <v>198516.5</v>
      </c>
      <c r="H136" s="488">
        <f t="shared" si="26"/>
        <v>63858.746997830589</v>
      </c>
      <c r="I136" s="542">
        <f t="shared" si="27"/>
        <v>63858.746997830589</v>
      </c>
      <c r="J136" s="478">
        <f t="shared" si="22"/>
        <v>0</v>
      </c>
      <c r="K136" s="478"/>
      <c r="L136" s="487"/>
      <c r="M136" s="478">
        <f t="shared" si="28"/>
        <v>0</v>
      </c>
      <c r="N136" s="487"/>
      <c r="O136" s="478">
        <f t="shared" si="29"/>
        <v>0</v>
      </c>
      <c r="P136" s="478">
        <f t="shared" si="30"/>
        <v>0</v>
      </c>
    </row>
    <row r="137" spans="2:16" ht="12.5">
      <c r="B137" s="160" t="str">
        <f t="shared" si="21"/>
        <v/>
      </c>
      <c r="C137" s="472">
        <f>IF(D93="","-",+C136+1)</f>
        <v>2053</v>
      </c>
      <c r="D137" s="346">
        <f>IF(F136+SUM(E$99:E136)=D$92,F136,D$92-SUM(E$99:E136))</f>
        <v>177882</v>
      </c>
      <c r="E137" s="484">
        <f t="shared" si="23"/>
        <v>41269</v>
      </c>
      <c r="F137" s="485">
        <f t="shared" si="24"/>
        <v>136613</v>
      </c>
      <c r="G137" s="485">
        <f t="shared" si="25"/>
        <v>157247.5</v>
      </c>
      <c r="H137" s="488">
        <f t="shared" si="26"/>
        <v>59162.632222215107</v>
      </c>
      <c r="I137" s="542">
        <f t="shared" si="27"/>
        <v>59162.632222215107</v>
      </c>
      <c r="J137" s="478">
        <f t="shared" si="22"/>
        <v>0</v>
      </c>
      <c r="K137" s="478"/>
      <c r="L137" s="487"/>
      <c r="M137" s="478">
        <f t="shared" si="28"/>
        <v>0</v>
      </c>
      <c r="N137" s="487"/>
      <c r="O137" s="478">
        <f t="shared" si="29"/>
        <v>0</v>
      </c>
      <c r="P137" s="478">
        <f t="shared" si="30"/>
        <v>0</v>
      </c>
    </row>
    <row r="138" spans="2:16" ht="12.5">
      <c r="B138" s="160" t="str">
        <f t="shared" si="21"/>
        <v/>
      </c>
      <c r="C138" s="472">
        <f>IF(D93="","-",+C137+1)</f>
        <v>2054</v>
      </c>
      <c r="D138" s="346">
        <f>IF(F137+SUM(E$99:E137)=D$92,F137,D$92-SUM(E$99:E137))</f>
        <v>136613</v>
      </c>
      <c r="E138" s="484">
        <f t="shared" si="23"/>
        <v>41269</v>
      </c>
      <c r="F138" s="485">
        <f t="shared" si="24"/>
        <v>95344</v>
      </c>
      <c r="G138" s="485">
        <f t="shared" si="25"/>
        <v>115978.5</v>
      </c>
      <c r="H138" s="488">
        <f t="shared" si="26"/>
        <v>54466.517446599624</v>
      </c>
      <c r="I138" s="542">
        <f t="shared" si="27"/>
        <v>54466.517446599624</v>
      </c>
      <c r="J138" s="478">
        <f t="shared" si="22"/>
        <v>0</v>
      </c>
      <c r="K138" s="478"/>
      <c r="L138" s="487"/>
      <c r="M138" s="478">
        <f t="shared" si="28"/>
        <v>0</v>
      </c>
      <c r="N138" s="487"/>
      <c r="O138" s="478">
        <f t="shared" si="29"/>
        <v>0</v>
      </c>
      <c r="P138" s="478">
        <f t="shared" si="30"/>
        <v>0</v>
      </c>
    </row>
    <row r="139" spans="2:16" ht="12.5">
      <c r="B139" s="160" t="str">
        <f t="shared" si="21"/>
        <v/>
      </c>
      <c r="C139" s="472">
        <f>IF(D93="","-",+C138+1)</f>
        <v>2055</v>
      </c>
      <c r="D139" s="346">
        <f>IF(F138+SUM(E$99:E138)=D$92,F138,D$92-SUM(E$99:E138))</f>
        <v>95344</v>
      </c>
      <c r="E139" s="484">
        <f t="shared" si="23"/>
        <v>41269</v>
      </c>
      <c r="F139" s="485">
        <f t="shared" si="24"/>
        <v>54075</v>
      </c>
      <c r="G139" s="485">
        <f t="shared" si="25"/>
        <v>74709.5</v>
      </c>
      <c r="H139" s="488">
        <f t="shared" si="26"/>
        <v>49770.402670984142</v>
      </c>
      <c r="I139" s="542">
        <f t="shared" si="27"/>
        <v>49770.402670984142</v>
      </c>
      <c r="J139" s="478">
        <f t="shared" si="22"/>
        <v>0</v>
      </c>
      <c r="K139" s="478"/>
      <c r="L139" s="487"/>
      <c r="M139" s="478">
        <f t="shared" si="28"/>
        <v>0</v>
      </c>
      <c r="N139" s="487"/>
      <c r="O139" s="478">
        <f t="shared" si="29"/>
        <v>0</v>
      </c>
      <c r="P139" s="478">
        <f t="shared" si="30"/>
        <v>0</v>
      </c>
    </row>
    <row r="140" spans="2:16" ht="12.5">
      <c r="B140" s="160" t="str">
        <f t="shared" si="21"/>
        <v/>
      </c>
      <c r="C140" s="472">
        <f>IF(D93="","-",+C139+1)</f>
        <v>2056</v>
      </c>
      <c r="D140" s="346">
        <f>IF(F139+SUM(E$99:E139)=D$92,F139,D$92-SUM(E$99:E139))</f>
        <v>54075</v>
      </c>
      <c r="E140" s="484">
        <f t="shared" si="23"/>
        <v>41269</v>
      </c>
      <c r="F140" s="485">
        <f t="shared" si="24"/>
        <v>12806</v>
      </c>
      <c r="G140" s="485">
        <f t="shared" si="25"/>
        <v>33440.5</v>
      </c>
      <c r="H140" s="488">
        <f t="shared" si="26"/>
        <v>45074.287895368667</v>
      </c>
      <c r="I140" s="542">
        <f t="shared" si="27"/>
        <v>45074.287895368667</v>
      </c>
      <c r="J140" s="478">
        <f t="shared" si="22"/>
        <v>0</v>
      </c>
      <c r="K140" s="478"/>
      <c r="L140" s="487"/>
      <c r="M140" s="478">
        <f t="shared" si="28"/>
        <v>0</v>
      </c>
      <c r="N140" s="487"/>
      <c r="O140" s="478">
        <f t="shared" si="29"/>
        <v>0</v>
      </c>
      <c r="P140" s="478">
        <f t="shared" si="30"/>
        <v>0</v>
      </c>
    </row>
    <row r="141" spans="2:16" ht="12.5">
      <c r="B141" s="160" t="str">
        <f t="shared" si="21"/>
        <v/>
      </c>
      <c r="C141" s="472">
        <f>IF(D93="","-",+C140+1)</f>
        <v>2057</v>
      </c>
      <c r="D141" s="346">
        <f>IF(F140+SUM(E$99:E140)=D$92,F140,D$92-SUM(E$99:E140))</f>
        <v>12806</v>
      </c>
      <c r="E141" s="484">
        <f t="shared" si="23"/>
        <v>12806</v>
      </c>
      <c r="F141" s="485">
        <f t="shared" si="24"/>
        <v>0</v>
      </c>
      <c r="G141" s="485">
        <f t="shared" si="25"/>
        <v>6403</v>
      </c>
      <c r="H141" s="488">
        <f t="shared" si="26"/>
        <v>13534.615253780463</v>
      </c>
      <c r="I141" s="542">
        <f t="shared" si="27"/>
        <v>13534.615253780463</v>
      </c>
      <c r="J141" s="478">
        <f t="shared" si="22"/>
        <v>0</v>
      </c>
      <c r="K141" s="478"/>
      <c r="L141" s="487"/>
      <c r="M141" s="478">
        <f t="shared" si="28"/>
        <v>0</v>
      </c>
      <c r="N141" s="487"/>
      <c r="O141" s="478">
        <f t="shared" si="29"/>
        <v>0</v>
      </c>
      <c r="P141" s="478">
        <f t="shared" si="30"/>
        <v>0</v>
      </c>
    </row>
    <row r="142" spans="2:16" ht="12.5">
      <c r="B142" s="160" t="str">
        <f t="shared" si="21"/>
        <v/>
      </c>
      <c r="C142" s="472">
        <f>IF(D93="","-",+C141+1)</f>
        <v>2058</v>
      </c>
      <c r="D142" s="346">
        <f>IF(F141+SUM(E$99:E141)=D$92,F141,D$92-SUM(E$99:E141))</f>
        <v>0</v>
      </c>
      <c r="E142" s="484">
        <f t="shared" si="23"/>
        <v>0</v>
      </c>
      <c r="F142" s="485">
        <f t="shared" si="24"/>
        <v>0</v>
      </c>
      <c r="G142" s="485">
        <f t="shared" si="25"/>
        <v>0</v>
      </c>
      <c r="H142" s="488">
        <f t="shared" si="26"/>
        <v>0</v>
      </c>
      <c r="I142" s="542">
        <f t="shared" si="27"/>
        <v>0</v>
      </c>
      <c r="J142" s="478">
        <f t="shared" si="22"/>
        <v>0</v>
      </c>
      <c r="K142" s="478"/>
      <c r="L142" s="487"/>
      <c r="M142" s="478">
        <f t="shared" si="28"/>
        <v>0</v>
      </c>
      <c r="N142" s="487"/>
      <c r="O142" s="478">
        <f t="shared" si="29"/>
        <v>0</v>
      </c>
      <c r="P142" s="478">
        <f t="shared" si="30"/>
        <v>0</v>
      </c>
    </row>
    <row r="143" spans="2:16" ht="12.5">
      <c r="B143" s="160" t="str">
        <f t="shared" si="21"/>
        <v/>
      </c>
      <c r="C143" s="472">
        <f>IF(D93="","-",+C142+1)</f>
        <v>2059</v>
      </c>
      <c r="D143" s="346">
        <f>IF(F142+SUM(E$99:E142)=D$92,F142,D$92-SUM(E$99:E142))</f>
        <v>0</v>
      </c>
      <c r="E143" s="484">
        <f t="shared" si="23"/>
        <v>0</v>
      </c>
      <c r="F143" s="485">
        <f t="shared" si="24"/>
        <v>0</v>
      </c>
      <c r="G143" s="485">
        <f t="shared" si="25"/>
        <v>0</v>
      </c>
      <c r="H143" s="488">
        <f t="shared" si="26"/>
        <v>0</v>
      </c>
      <c r="I143" s="542">
        <f t="shared" si="27"/>
        <v>0</v>
      </c>
      <c r="J143" s="478">
        <f t="shared" si="22"/>
        <v>0</v>
      </c>
      <c r="K143" s="478"/>
      <c r="L143" s="487"/>
      <c r="M143" s="478">
        <f t="shared" si="28"/>
        <v>0</v>
      </c>
      <c r="N143" s="487"/>
      <c r="O143" s="478">
        <f t="shared" si="29"/>
        <v>0</v>
      </c>
      <c r="P143" s="478">
        <f t="shared" si="30"/>
        <v>0</v>
      </c>
    </row>
    <row r="144" spans="2:16" ht="12.5">
      <c r="B144" s="160" t="str">
        <f t="shared" si="21"/>
        <v/>
      </c>
      <c r="C144" s="472">
        <f>IF(D93="","-",+C143+1)</f>
        <v>2060</v>
      </c>
      <c r="D144" s="346">
        <f>IF(F143+SUM(E$99:E143)=D$92,F143,D$92-SUM(E$99:E143))</f>
        <v>0</v>
      </c>
      <c r="E144" s="484">
        <f t="shared" si="23"/>
        <v>0</v>
      </c>
      <c r="F144" s="485">
        <f t="shared" si="24"/>
        <v>0</v>
      </c>
      <c r="G144" s="485">
        <f t="shared" si="25"/>
        <v>0</v>
      </c>
      <c r="H144" s="488">
        <f t="shared" si="26"/>
        <v>0</v>
      </c>
      <c r="I144" s="542">
        <f t="shared" si="27"/>
        <v>0</v>
      </c>
      <c r="J144" s="478">
        <f t="shared" si="22"/>
        <v>0</v>
      </c>
      <c r="K144" s="478"/>
      <c r="L144" s="487"/>
      <c r="M144" s="478">
        <f t="shared" si="28"/>
        <v>0</v>
      </c>
      <c r="N144" s="487"/>
      <c r="O144" s="478">
        <f t="shared" si="29"/>
        <v>0</v>
      </c>
      <c r="P144" s="478">
        <f t="shared" si="30"/>
        <v>0</v>
      </c>
    </row>
    <row r="145" spans="2:16" ht="12.5">
      <c r="B145" s="160" t="str">
        <f t="shared" si="21"/>
        <v/>
      </c>
      <c r="C145" s="472">
        <f>IF(D93="","-",+C144+1)</f>
        <v>2061</v>
      </c>
      <c r="D145" s="346">
        <f>IF(F144+SUM(E$99:E144)=D$92,F144,D$92-SUM(E$99:E144))</f>
        <v>0</v>
      </c>
      <c r="E145" s="484">
        <f t="shared" si="23"/>
        <v>0</v>
      </c>
      <c r="F145" s="485">
        <f t="shared" si="24"/>
        <v>0</v>
      </c>
      <c r="G145" s="485">
        <f t="shared" si="25"/>
        <v>0</v>
      </c>
      <c r="H145" s="488">
        <f t="shared" si="26"/>
        <v>0</v>
      </c>
      <c r="I145" s="542">
        <f t="shared" si="27"/>
        <v>0</v>
      </c>
      <c r="J145" s="478">
        <f t="shared" si="22"/>
        <v>0</v>
      </c>
      <c r="K145" s="478"/>
      <c r="L145" s="487"/>
      <c r="M145" s="478">
        <f t="shared" si="28"/>
        <v>0</v>
      </c>
      <c r="N145" s="487"/>
      <c r="O145" s="478">
        <f t="shared" si="29"/>
        <v>0</v>
      </c>
      <c r="P145" s="478">
        <f t="shared" si="30"/>
        <v>0</v>
      </c>
    </row>
    <row r="146" spans="2:16" ht="12.5">
      <c r="B146" s="160" t="str">
        <f t="shared" si="21"/>
        <v/>
      </c>
      <c r="C146" s="472">
        <f>IF(D93="","-",+C145+1)</f>
        <v>2062</v>
      </c>
      <c r="D146" s="346">
        <f>IF(F145+SUM(E$99:E145)=D$92,F145,D$92-SUM(E$99:E145))</f>
        <v>0</v>
      </c>
      <c r="E146" s="484">
        <f t="shared" si="23"/>
        <v>0</v>
      </c>
      <c r="F146" s="485">
        <f t="shared" si="24"/>
        <v>0</v>
      </c>
      <c r="G146" s="485">
        <f t="shared" si="25"/>
        <v>0</v>
      </c>
      <c r="H146" s="488">
        <f t="shared" si="26"/>
        <v>0</v>
      </c>
      <c r="I146" s="542">
        <f t="shared" si="27"/>
        <v>0</v>
      </c>
      <c r="J146" s="478">
        <f t="shared" si="22"/>
        <v>0</v>
      </c>
      <c r="K146" s="478"/>
      <c r="L146" s="487"/>
      <c r="M146" s="478">
        <f t="shared" si="28"/>
        <v>0</v>
      </c>
      <c r="N146" s="487"/>
      <c r="O146" s="478">
        <f t="shared" si="29"/>
        <v>0</v>
      </c>
      <c r="P146" s="478">
        <f t="shared" si="30"/>
        <v>0</v>
      </c>
    </row>
    <row r="147" spans="2:16" ht="12.5">
      <c r="B147" s="160" t="str">
        <f t="shared" si="21"/>
        <v/>
      </c>
      <c r="C147" s="472">
        <f>IF(D93="","-",+C146+1)</f>
        <v>2063</v>
      </c>
      <c r="D147" s="346">
        <f>IF(F146+SUM(E$99:E146)=D$92,F146,D$92-SUM(E$99:E146))</f>
        <v>0</v>
      </c>
      <c r="E147" s="484">
        <f t="shared" si="23"/>
        <v>0</v>
      </c>
      <c r="F147" s="485">
        <f t="shared" si="24"/>
        <v>0</v>
      </c>
      <c r="G147" s="485">
        <f t="shared" si="25"/>
        <v>0</v>
      </c>
      <c r="H147" s="488">
        <f t="shared" si="26"/>
        <v>0</v>
      </c>
      <c r="I147" s="542">
        <f t="shared" si="27"/>
        <v>0</v>
      </c>
      <c r="J147" s="478">
        <f t="shared" si="22"/>
        <v>0</v>
      </c>
      <c r="K147" s="478"/>
      <c r="L147" s="487"/>
      <c r="M147" s="478">
        <f t="shared" si="28"/>
        <v>0</v>
      </c>
      <c r="N147" s="487"/>
      <c r="O147" s="478">
        <f t="shared" si="29"/>
        <v>0</v>
      </c>
      <c r="P147" s="478">
        <f t="shared" si="30"/>
        <v>0</v>
      </c>
    </row>
    <row r="148" spans="2:16" ht="12.5">
      <c r="B148" s="160" t="str">
        <f t="shared" si="21"/>
        <v/>
      </c>
      <c r="C148" s="472">
        <f>IF(D93="","-",+C147+1)</f>
        <v>2064</v>
      </c>
      <c r="D148" s="346">
        <f>IF(F147+SUM(E$99:E147)=D$92,F147,D$92-SUM(E$99:E147))</f>
        <v>0</v>
      </c>
      <c r="E148" s="484">
        <f t="shared" si="23"/>
        <v>0</v>
      </c>
      <c r="F148" s="485">
        <f t="shared" si="24"/>
        <v>0</v>
      </c>
      <c r="G148" s="485">
        <f t="shared" si="25"/>
        <v>0</v>
      </c>
      <c r="H148" s="488">
        <f t="shared" si="26"/>
        <v>0</v>
      </c>
      <c r="I148" s="542">
        <f t="shared" si="27"/>
        <v>0</v>
      </c>
      <c r="J148" s="478">
        <f t="shared" si="22"/>
        <v>0</v>
      </c>
      <c r="K148" s="478"/>
      <c r="L148" s="487"/>
      <c r="M148" s="478">
        <f t="shared" si="28"/>
        <v>0</v>
      </c>
      <c r="N148" s="487"/>
      <c r="O148" s="478">
        <f t="shared" si="29"/>
        <v>0</v>
      </c>
      <c r="P148" s="478">
        <f t="shared" si="30"/>
        <v>0</v>
      </c>
    </row>
    <row r="149" spans="2:16" ht="12.5">
      <c r="B149" s="160" t="str">
        <f t="shared" si="21"/>
        <v/>
      </c>
      <c r="C149" s="472">
        <f>IF(D93="","-",+C148+1)</f>
        <v>2065</v>
      </c>
      <c r="D149" s="346">
        <f>IF(F148+SUM(E$99:E148)=D$92,F148,D$92-SUM(E$99:E148))</f>
        <v>0</v>
      </c>
      <c r="E149" s="484">
        <f t="shared" si="23"/>
        <v>0</v>
      </c>
      <c r="F149" s="485">
        <f t="shared" si="24"/>
        <v>0</v>
      </c>
      <c r="G149" s="485">
        <f t="shared" si="25"/>
        <v>0</v>
      </c>
      <c r="H149" s="488">
        <f t="shared" si="26"/>
        <v>0</v>
      </c>
      <c r="I149" s="542">
        <f t="shared" si="27"/>
        <v>0</v>
      </c>
      <c r="J149" s="478">
        <f t="shared" si="22"/>
        <v>0</v>
      </c>
      <c r="K149" s="478"/>
      <c r="L149" s="487"/>
      <c r="M149" s="478">
        <f t="shared" si="28"/>
        <v>0</v>
      </c>
      <c r="N149" s="487"/>
      <c r="O149" s="478">
        <f t="shared" si="29"/>
        <v>0</v>
      </c>
      <c r="P149" s="478">
        <f t="shared" si="30"/>
        <v>0</v>
      </c>
    </row>
    <row r="150" spans="2:16" ht="12.5">
      <c r="B150" s="160" t="str">
        <f t="shared" si="21"/>
        <v/>
      </c>
      <c r="C150" s="472">
        <f>IF(D93="","-",+C149+1)</f>
        <v>2066</v>
      </c>
      <c r="D150" s="346">
        <f>IF(F149+SUM(E$99:E149)=D$92,F149,D$92-SUM(E$99:E149))</f>
        <v>0</v>
      </c>
      <c r="E150" s="484">
        <f t="shared" si="23"/>
        <v>0</v>
      </c>
      <c r="F150" s="485">
        <f t="shared" si="24"/>
        <v>0</v>
      </c>
      <c r="G150" s="485">
        <f t="shared" si="25"/>
        <v>0</v>
      </c>
      <c r="H150" s="488">
        <f t="shared" si="26"/>
        <v>0</v>
      </c>
      <c r="I150" s="542">
        <f t="shared" si="27"/>
        <v>0</v>
      </c>
      <c r="J150" s="478">
        <f t="shared" si="22"/>
        <v>0</v>
      </c>
      <c r="K150" s="478"/>
      <c r="L150" s="487"/>
      <c r="M150" s="478">
        <f t="shared" si="28"/>
        <v>0</v>
      </c>
      <c r="N150" s="487"/>
      <c r="O150" s="478">
        <f t="shared" si="29"/>
        <v>0</v>
      </c>
      <c r="P150" s="478">
        <f t="shared" si="30"/>
        <v>0</v>
      </c>
    </row>
    <row r="151" spans="2:16" ht="12.5">
      <c r="B151" s="160" t="str">
        <f t="shared" si="21"/>
        <v/>
      </c>
      <c r="C151" s="472">
        <f>IF(D93="","-",+C150+1)</f>
        <v>2067</v>
      </c>
      <c r="D151" s="346">
        <f>IF(F150+SUM(E$99:E150)=D$92,F150,D$92-SUM(E$99:E150))</f>
        <v>0</v>
      </c>
      <c r="E151" s="484">
        <f t="shared" si="23"/>
        <v>0</v>
      </c>
      <c r="F151" s="485">
        <f t="shared" si="24"/>
        <v>0</v>
      </c>
      <c r="G151" s="485">
        <f t="shared" si="25"/>
        <v>0</v>
      </c>
      <c r="H151" s="488">
        <f t="shared" si="26"/>
        <v>0</v>
      </c>
      <c r="I151" s="542">
        <f t="shared" si="27"/>
        <v>0</v>
      </c>
      <c r="J151" s="478">
        <f t="shared" si="22"/>
        <v>0</v>
      </c>
      <c r="K151" s="478"/>
      <c r="L151" s="487"/>
      <c r="M151" s="478">
        <f t="shared" si="28"/>
        <v>0</v>
      </c>
      <c r="N151" s="487"/>
      <c r="O151" s="478">
        <f t="shared" si="29"/>
        <v>0</v>
      </c>
      <c r="P151" s="478">
        <f t="shared" si="30"/>
        <v>0</v>
      </c>
    </row>
    <row r="152" spans="2:16" ht="12.5">
      <c r="B152" s="160" t="str">
        <f t="shared" si="21"/>
        <v/>
      </c>
      <c r="C152" s="472">
        <f>IF(D93="","-",+C151+1)</f>
        <v>2068</v>
      </c>
      <c r="D152" s="346">
        <f>IF(F151+SUM(E$99:E151)=D$92,F151,D$92-SUM(E$99:E151))</f>
        <v>0</v>
      </c>
      <c r="E152" s="484">
        <f t="shared" si="23"/>
        <v>0</v>
      </c>
      <c r="F152" s="485">
        <f t="shared" si="24"/>
        <v>0</v>
      </c>
      <c r="G152" s="485">
        <f t="shared" si="25"/>
        <v>0</v>
      </c>
      <c r="H152" s="488">
        <f t="shared" si="26"/>
        <v>0</v>
      </c>
      <c r="I152" s="542">
        <f t="shared" si="27"/>
        <v>0</v>
      </c>
      <c r="J152" s="478">
        <f t="shared" si="22"/>
        <v>0</v>
      </c>
      <c r="K152" s="478"/>
      <c r="L152" s="487"/>
      <c r="M152" s="478">
        <f t="shared" si="28"/>
        <v>0</v>
      </c>
      <c r="N152" s="487"/>
      <c r="O152" s="478">
        <f t="shared" si="29"/>
        <v>0</v>
      </c>
      <c r="P152" s="478">
        <f t="shared" si="30"/>
        <v>0</v>
      </c>
    </row>
    <row r="153" spans="2:16" ht="12.5">
      <c r="B153" s="160" t="str">
        <f t="shared" si="21"/>
        <v/>
      </c>
      <c r="C153" s="472">
        <f>IF(D93="","-",+C152+1)</f>
        <v>2069</v>
      </c>
      <c r="D153" s="346">
        <f>IF(F152+SUM(E$99:E152)=D$92,F152,D$92-SUM(E$99:E152))</f>
        <v>0</v>
      </c>
      <c r="E153" s="484">
        <f t="shared" si="23"/>
        <v>0</v>
      </c>
      <c r="F153" s="485">
        <f t="shared" si="24"/>
        <v>0</v>
      </c>
      <c r="G153" s="485">
        <f t="shared" si="25"/>
        <v>0</v>
      </c>
      <c r="H153" s="488">
        <f t="shared" si="26"/>
        <v>0</v>
      </c>
      <c r="I153" s="542">
        <f t="shared" si="27"/>
        <v>0</v>
      </c>
      <c r="J153" s="478">
        <f t="shared" si="22"/>
        <v>0</v>
      </c>
      <c r="K153" s="478"/>
      <c r="L153" s="487"/>
      <c r="M153" s="478">
        <f t="shared" si="28"/>
        <v>0</v>
      </c>
      <c r="N153" s="487"/>
      <c r="O153" s="478">
        <f t="shared" si="29"/>
        <v>0</v>
      </c>
      <c r="P153" s="478">
        <f t="shared" si="30"/>
        <v>0</v>
      </c>
    </row>
    <row r="154" spans="2:16" ht="13" thickBot="1">
      <c r="B154" s="160" t="str">
        <f t="shared" si="21"/>
        <v/>
      </c>
      <c r="C154" s="489">
        <f>IF(D93="","-",+C153+1)</f>
        <v>2070</v>
      </c>
      <c r="D154" s="576">
        <f>IF(F153+SUM(E$99:E153)=D$92,F153,D$92-SUM(E$99:E153))</f>
        <v>0</v>
      </c>
      <c r="E154" s="491">
        <f t="shared" si="23"/>
        <v>0</v>
      </c>
      <c r="F154" s="490">
        <f t="shared" si="24"/>
        <v>0</v>
      </c>
      <c r="G154" s="490">
        <f t="shared" si="25"/>
        <v>0</v>
      </c>
      <c r="H154" s="492">
        <f t="shared" si="26"/>
        <v>0</v>
      </c>
      <c r="I154" s="545">
        <f t="shared" si="27"/>
        <v>0</v>
      </c>
      <c r="J154" s="495">
        <f t="shared" si="22"/>
        <v>0</v>
      </c>
      <c r="K154" s="478"/>
      <c r="L154" s="494"/>
      <c r="M154" s="495">
        <f t="shared" si="28"/>
        <v>0</v>
      </c>
      <c r="N154" s="494"/>
      <c r="O154" s="495">
        <f t="shared" si="29"/>
        <v>0</v>
      </c>
      <c r="P154" s="495">
        <f t="shared" si="30"/>
        <v>0</v>
      </c>
    </row>
    <row r="155" spans="2:16" ht="12.5">
      <c r="C155" s="346" t="s">
        <v>77</v>
      </c>
      <c r="D155" s="347"/>
      <c r="E155" s="347">
        <f>SUM(E99:E154)</f>
        <v>1692023</v>
      </c>
      <c r="F155" s="347"/>
      <c r="G155" s="347"/>
      <c r="H155" s="347">
        <f>SUM(H99:H154)</f>
        <v>5822561.3421435049</v>
      </c>
      <c r="I155" s="347">
        <f>SUM(I99:I154)</f>
        <v>5822561.3421435049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7">
    <tabColor theme="9" tint="-0.249977111117893"/>
  </sheetPr>
  <dimension ref="A1:P162"/>
  <sheetViews>
    <sheetView view="pageBreakPreview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18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205572.35897435897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205572.35897435897</v>
      </c>
      <c r="O6" s="232"/>
      <c r="P6" s="232"/>
    </row>
    <row r="7" spans="1:16" ht="13.5" thickBot="1">
      <c r="C7" s="431" t="s">
        <v>46</v>
      </c>
      <c r="D7" s="599" t="s">
        <v>266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610" t="s">
        <v>269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273</v>
      </c>
      <c r="E9" s="577" t="s">
        <v>343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1725647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44247.358974358976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2014</v>
      </c>
      <c r="D17" s="578">
        <v>1725646.85</v>
      </c>
      <c r="E17" s="601">
        <v>22123.677564102563</v>
      </c>
      <c r="F17" s="578">
        <v>1703523.1724358976</v>
      </c>
      <c r="G17" s="601">
        <v>256628.57821434946</v>
      </c>
      <c r="H17" s="602">
        <v>256628.57821434946</v>
      </c>
      <c r="I17" s="475">
        <v>0</v>
      </c>
      <c r="J17" s="475"/>
      <c r="K17" s="476">
        <f t="shared" ref="K17:K22" si="0">G17</f>
        <v>256628.57821434946</v>
      </c>
      <c r="L17" s="603">
        <f t="shared" ref="L17:L22" si="1">IF(K17&lt;&gt;0,+G17-K17,0)</f>
        <v>0</v>
      </c>
      <c r="M17" s="476">
        <f t="shared" ref="M17:M22" si="2">H17</f>
        <v>256628.57821434946</v>
      </c>
      <c r="N17" s="478">
        <f>IF(M17&lt;&gt;0,+H17-M17,0)</f>
        <v>0</v>
      </c>
      <c r="O17" s="475">
        <f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2015</v>
      </c>
      <c r="D18" s="578">
        <v>1703523.1724358976</v>
      </c>
      <c r="E18" s="579">
        <v>33185.516346153847</v>
      </c>
      <c r="F18" s="578">
        <v>1670337.6560897438</v>
      </c>
      <c r="G18" s="579">
        <v>263477.7363505594</v>
      </c>
      <c r="H18" s="602">
        <v>263477.7363505594</v>
      </c>
      <c r="I18" s="475">
        <v>0</v>
      </c>
      <c r="J18" s="475"/>
      <c r="K18" s="476">
        <f t="shared" si="0"/>
        <v>263477.7363505594</v>
      </c>
      <c r="L18" s="603">
        <f t="shared" si="1"/>
        <v>0</v>
      </c>
      <c r="M18" s="476">
        <f t="shared" si="2"/>
        <v>263477.7363505594</v>
      </c>
      <c r="N18" s="478">
        <f>IF(M18&lt;&gt;0,+H18-M18,0)</f>
        <v>0</v>
      </c>
      <c r="O18" s="475">
        <f>+N18-L18</f>
        <v>0</v>
      </c>
      <c r="P18" s="242"/>
    </row>
    <row r="19" spans="2:16" ht="12.5">
      <c r="B19" s="160" t="str">
        <f>IF(D19=F18,"","IU")</f>
        <v/>
      </c>
      <c r="C19" s="472">
        <f>IF(D11="","-",+C18+1)</f>
        <v>2016</v>
      </c>
      <c r="D19" s="578">
        <v>1670337.6560897438</v>
      </c>
      <c r="E19" s="579">
        <v>33185.516346153847</v>
      </c>
      <c r="F19" s="578">
        <v>1637152.13974359</v>
      </c>
      <c r="G19" s="579">
        <v>247913.51634615386</v>
      </c>
      <c r="H19" s="602">
        <v>247913.51634615386</v>
      </c>
      <c r="I19" s="475">
        <f>H19-G19</f>
        <v>0</v>
      </c>
      <c r="J19" s="475"/>
      <c r="K19" s="476">
        <f t="shared" si="0"/>
        <v>247913.51634615386</v>
      </c>
      <c r="L19" s="603">
        <f t="shared" si="1"/>
        <v>0</v>
      </c>
      <c r="M19" s="476">
        <f t="shared" si="2"/>
        <v>247913.51634615386</v>
      </c>
      <c r="N19" s="478">
        <f>IF(M19&lt;&gt;0,+H19-M19,0)</f>
        <v>0</v>
      </c>
      <c r="O19" s="475">
        <f>+N19-L19</f>
        <v>0</v>
      </c>
      <c r="P19" s="242"/>
    </row>
    <row r="20" spans="2:16" ht="12.5">
      <c r="B20" s="160" t="str">
        <f t="shared" ref="B20:B72" si="3">IF(D20=F19,"","IU")</f>
        <v>IU</v>
      </c>
      <c r="C20" s="472">
        <f>IF(D11="","-",+C19+1)</f>
        <v>2017</v>
      </c>
      <c r="D20" s="578">
        <v>1637152</v>
      </c>
      <c r="E20" s="579">
        <v>37514</v>
      </c>
      <c r="F20" s="578">
        <v>1599638</v>
      </c>
      <c r="G20" s="579">
        <v>241085</v>
      </c>
      <c r="H20" s="602">
        <v>241085</v>
      </c>
      <c r="I20" s="475">
        <f t="shared" ref="I20:I72" si="4">H20-G20</f>
        <v>0</v>
      </c>
      <c r="J20" s="475"/>
      <c r="K20" s="476">
        <f t="shared" si="0"/>
        <v>241085</v>
      </c>
      <c r="L20" s="603">
        <f t="shared" si="1"/>
        <v>0</v>
      </c>
      <c r="M20" s="476">
        <f t="shared" si="2"/>
        <v>241085</v>
      </c>
      <c r="N20" s="478">
        <f>IF(M20&lt;&gt;0,+H20-M20,0)</f>
        <v>0</v>
      </c>
      <c r="O20" s="475">
        <f>+N20-L20</f>
        <v>0</v>
      </c>
      <c r="P20" s="242"/>
    </row>
    <row r="21" spans="2:16" ht="12.5">
      <c r="B21" s="160" t="str">
        <f t="shared" si="3"/>
        <v>IU</v>
      </c>
      <c r="C21" s="472">
        <f>IF(D11="","-",+C20+1)</f>
        <v>2018</v>
      </c>
      <c r="D21" s="578">
        <v>1599638.0777870682</v>
      </c>
      <c r="E21" s="579">
        <v>38347.707777777781</v>
      </c>
      <c r="F21" s="578">
        <v>1561290.3700092905</v>
      </c>
      <c r="G21" s="579">
        <v>227622.42905835263</v>
      </c>
      <c r="H21" s="602">
        <v>227622.42905835263</v>
      </c>
      <c r="I21" s="475">
        <f t="shared" si="4"/>
        <v>0</v>
      </c>
      <c r="J21" s="475"/>
      <c r="K21" s="476">
        <f t="shared" si="0"/>
        <v>227622.42905835263</v>
      </c>
      <c r="L21" s="603">
        <f t="shared" si="1"/>
        <v>0</v>
      </c>
      <c r="M21" s="476">
        <f t="shared" si="2"/>
        <v>227622.42905835263</v>
      </c>
      <c r="N21" s="478">
        <f>IF(M21&lt;&gt;0,+H21-M21,0)</f>
        <v>0</v>
      </c>
      <c r="O21" s="475">
        <f>+N21-L21</f>
        <v>0</v>
      </c>
      <c r="P21" s="242"/>
    </row>
    <row r="22" spans="2:16" ht="12.5">
      <c r="B22" s="160" t="str">
        <f t="shared" si="3"/>
        <v/>
      </c>
      <c r="C22" s="472">
        <f>IF(D11="","-",+C21+1)</f>
        <v>2019</v>
      </c>
      <c r="D22" s="578">
        <v>1561290.3700092905</v>
      </c>
      <c r="E22" s="579">
        <v>43141.171249999999</v>
      </c>
      <c r="F22" s="578">
        <v>1518149.1987592906</v>
      </c>
      <c r="G22" s="579">
        <v>215061.09551654221</v>
      </c>
      <c r="H22" s="602">
        <v>215061.09551654221</v>
      </c>
      <c r="I22" s="475">
        <f t="shared" si="4"/>
        <v>0</v>
      </c>
      <c r="J22" s="475"/>
      <c r="K22" s="476">
        <f t="shared" si="0"/>
        <v>215061.09551654221</v>
      </c>
      <c r="L22" s="603">
        <f t="shared" si="1"/>
        <v>0</v>
      </c>
      <c r="M22" s="476">
        <f t="shared" si="2"/>
        <v>215061.09551654221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 ht="12.5">
      <c r="B23" s="160" t="str">
        <f t="shared" si="3"/>
        <v>IU</v>
      </c>
      <c r="C23" s="472">
        <f>IF(D11="","-",+C22+1)</f>
        <v>2020</v>
      </c>
      <c r="D23" s="578">
        <v>1522942.7241880344</v>
      </c>
      <c r="E23" s="579">
        <v>41086.829761904766</v>
      </c>
      <c r="F23" s="578">
        <v>1481855.8944261298</v>
      </c>
      <c r="G23" s="579">
        <v>203353.13199328393</v>
      </c>
      <c r="H23" s="602">
        <v>203353.13199328393</v>
      </c>
      <c r="I23" s="475">
        <f t="shared" si="4"/>
        <v>0</v>
      </c>
      <c r="J23" s="475"/>
      <c r="K23" s="476">
        <f t="shared" ref="K23" si="7">G23</f>
        <v>203353.13199328393</v>
      </c>
      <c r="L23" s="603">
        <f t="shared" ref="L23" si="8">IF(K23&lt;&gt;0,+G23-K23,0)</f>
        <v>0</v>
      </c>
      <c r="M23" s="476">
        <f t="shared" ref="M23" si="9">H23</f>
        <v>203353.13199328393</v>
      </c>
      <c r="N23" s="478">
        <f t="shared" si="5"/>
        <v>0</v>
      </c>
      <c r="O23" s="478">
        <f t="shared" si="6"/>
        <v>0</v>
      </c>
      <c r="P23" s="242"/>
    </row>
    <row r="24" spans="2:16" ht="12.5">
      <c r="B24" s="160" t="str">
        <f t="shared" si="3"/>
        <v>IU</v>
      </c>
      <c r="C24" s="472">
        <f>IF(D11="","-",+C23+1)</f>
        <v>2021</v>
      </c>
      <c r="D24" s="578">
        <v>1477062.4309539073</v>
      </c>
      <c r="E24" s="579">
        <v>40131.322093023256</v>
      </c>
      <c r="F24" s="578">
        <v>1436931.1088608841</v>
      </c>
      <c r="G24" s="579">
        <v>195063.32209302325</v>
      </c>
      <c r="H24" s="602">
        <v>195063.32209302325</v>
      </c>
      <c r="I24" s="475">
        <f t="shared" si="4"/>
        <v>0</v>
      </c>
      <c r="J24" s="475"/>
      <c r="K24" s="476">
        <f t="shared" ref="K24" si="10">G24</f>
        <v>195063.32209302325</v>
      </c>
      <c r="L24" s="603">
        <f t="shared" ref="L24" si="11">IF(K24&lt;&gt;0,+G24-K24,0)</f>
        <v>0</v>
      </c>
      <c r="M24" s="476">
        <f t="shared" ref="M24" si="12">H24</f>
        <v>195063.32209302325</v>
      </c>
      <c r="N24" s="478">
        <f t="shared" si="5"/>
        <v>0</v>
      </c>
      <c r="O24" s="478">
        <f t="shared" si="6"/>
        <v>0</v>
      </c>
      <c r="P24" s="242"/>
    </row>
    <row r="25" spans="2:16" ht="12.5">
      <c r="B25" s="160" t="str">
        <f t="shared" si="3"/>
        <v/>
      </c>
      <c r="C25" s="472">
        <f>IF(D11="","-",+C24+1)</f>
        <v>2022</v>
      </c>
      <c r="D25" s="578">
        <v>1436931.1088608841</v>
      </c>
      <c r="E25" s="579">
        <v>41086.829761904766</v>
      </c>
      <c r="F25" s="578">
        <v>1395844.2790989794</v>
      </c>
      <c r="G25" s="579">
        <v>191574.82976190478</v>
      </c>
      <c r="H25" s="602">
        <v>191574.82976190478</v>
      </c>
      <c r="I25" s="475">
        <f t="shared" si="4"/>
        <v>0</v>
      </c>
      <c r="J25" s="475"/>
      <c r="K25" s="476">
        <f t="shared" ref="K25" si="13">G25</f>
        <v>191574.82976190478</v>
      </c>
      <c r="L25" s="603">
        <f t="shared" ref="L25" si="14">IF(K25&lt;&gt;0,+G25-K25,0)</f>
        <v>0</v>
      </c>
      <c r="M25" s="476">
        <f t="shared" ref="M25" si="15">H25</f>
        <v>191574.82976190478</v>
      </c>
      <c r="N25" s="478">
        <f t="shared" si="5"/>
        <v>0</v>
      </c>
      <c r="O25" s="478">
        <f t="shared" si="6"/>
        <v>0</v>
      </c>
      <c r="P25" s="242"/>
    </row>
    <row r="26" spans="2:16" ht="12.5">
      <c r="B26" s="160" t="str">
        <f t="shared" si="3"/>
        <v>IU</v>
      </c>
      <c r="C26" s="472">
        <f>IF(D11="","-",+C25+1)</f>
        <v>2023</v>
      </c>
      <c r="D26" s="485">
        <f>IF(F25+SUM(E$17:E25)=D$10,F25,D$10-SUM(E$17:E25))</f>
        <v>1395844.4290989791</v>
      </c>
      <c r="E26" s="484">
        <f t="shared" ref="E26:E72" si="16">IF(+$I$14&lt;F25,$I$14,D26)</f>
        <v>44247.358974358976</v>
      </c>
      <c r="F26" s="485">
        <f t="shared" ref="F26:F72" si="17">+D26-E26</f>
        <v>1351597.0701246201</v>
      </c>
      <c r="G26" s="486">
        <f t="shared" ref="G26:G72" si="18">ROUND(I$12*F26,0)+E26</f>
        <v>205572.35897435897</v>
      </c>
      <c r="H26" s="455">
        <f t="shared" ref="H26:H72" si="19">ROUND(I$13*F26,0)+E26</f>
        <v>205572.35897435897</v>
      </c>
      <c r="I26" s="475">
        <f t="shared" si="4"/>
        <v>0</v>
      </c>
      <c r="J26" s="475"/>
      <c r="K26" s="487"/>
      <c r="L26" s="478">
        <f t="shared" ref="L26:L72" si="20">IF(K26&lt;&gt;0,+G26-K26,0)</f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 ht="12.5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1351597.0701246201</v>
      </c>
      <c r="E27" s="484">
        <f t="shared" si="16"/>
        <v>44247.358974358976</v>
      </c>
      <c r="F27" s="485">
        <f t="shared" si="17"/>
        <v>1307349.7111502611</v>
      </c>
      <c r="G27" s="486">
        <f t="shared" si="18"/>
        <v>200291.35897435897</v>
      </c>
      <c r="H27" s="455">
        <f t="shared" si="19"/>
        <v>200291.35897435897</v>
      </c>
      <c r="I27" s="475">
        <f t="shared" si="4"/>
        <v>0</v>
      </c>
      <c r="J27" s="475"/>
      <c r="K27" s="487"/>
      <c r="L27" s="478">
        <f t="shared" si="20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 ht="12.5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1307349.7111502611</v>
      </c>
      <c r="E28" s="484">
        <f t="shared" si="16"/>
        <v>44247.358974358976</v>
      </c>
      <c r="F28" s="485">
        <f t="shared" si="17"/>
        <v>1263102.3521759021</v>
      </c>
      <c r="G28" s="486">
        <f t="shared" si="18"/>
        <v>195010.35897435897</v>
      </c>
      <c r="H28" s="455">
        <f t="shared" si="19"/>
        <v>195010.35897435897</v>
      </c>
      <c r="I28" s="475">
        <f t="shared" si="4"/>
        <v>0</v>
      </c>
      <c r="J28" s="475"/>
      <c r="K28" s="487"/>
      <c r="L28" s="478">
        <f t="shared" si="20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 ht="12.5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1263102.3521759021</v>
      </c>
      <c r="E29" s="484">
        <f t="shared" si="16"/>
        <v>44247.358974358976</v>
      </c>
      <c r="F29" s="485">
        <f t="shared" si="17"/>
        <v>1218854.9932015431</v>
      </c>
      <c r="G29" s="486">
        <f t="shared" si="18"/>
        <v>189728.35897435897</v>
      </c>
      <c r="H29" s="455">
        <f t="shared" si="19"/>
        <v>189728.35897435897</v>
      </c>
      <c r="I29" s="475">
        <f t="shared" si="4"/>
        <v>0</v>
      </c>
      <c r="J29" s="475"/>
      <c r="K29" s="487"/>
      <c r="L29" s="478">
        <f t="shared" si="20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 ht="12.5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1218854.9932015431</v>
      </c>
      <c r="E30" s="484">
        <f t="shared" si="16"/>
        <v>44247.358974358976</v>
      </c>
      <c r="F30" s="485">
        <f t="shared" si="17"/>
        <v>1174607.6342271841</v>
      </c>
      <c r="G30" s="486">
        <f t="shared" si="18"/>
        <v>184447.35897435897</v>
      </c>
      <c r="H30" s="455">
        <f t="shared" si="19"/>
        <v>184447.35897435897</v>
      </c>
      <c r="I30" s="475">
        <f t="shared" si="4"/>
        <v>0</v>
      </c>
      <c r="J30" s="475"/>
      <c r="K30" s="487"/>
      <c r="L30" s="478">
        <f t="shared" si="20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 ht="12.5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1174607.6342271841</v>
      </c>
      <c r="E31" s="484">
        <f t="shared" si="16"/>
        <v>44247.358974358976</v>
      </c>
      <c r="F31" s="485">
        <f t="shared" si="17"/>
        <v>1130360.2752528251</v>
      </c>
      <c r="G31" s="486">
        <f t="shared" si="18"/>
        <v>179166.35897435897</v>
      </c>
      <c r="H31" s="455">
        <f t="shared" si="19"/>
        <v>179166.35897435897</v>
      </c>
      <c r="I31" s="475">
        <f t="shared" si="4"/>
        <v>0</v>
      </c>
      <c r="J31" s="475"/>
      <c r="K31" s="487"/>
      <c r="L31" s="478">
        <f t="shared" si="20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 ht="12.5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1130360.2752528251</v>
      </c>
      <c r="E32" s="484">
        <f t="shared" si="16"/>
        <v>44247.358974358976</v>
      </c>
      <c r="F32" s="485">
        <f t="shared" si="17"/>
        <v>1086112.9162784661</v>
      </c>
      <c r="G32" s="486">
        <f t="shared" si="18"/>
        <v>173884.35897435897</v>
      </c>
      <c r="H32" s="455">
        <f t="shared" si="19"/>
        <v>173884.35897435897</v>
      </c>
      <c r="I32" s="475">
        <f t="shared" si="4"/>
        <v>0</v>
      </c>
      <c r="J32" s="475"/>
      <c r="K32" s="487"/>
      <c r="L32" s="478">
        <f t="shared" si="20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 ht="12.5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1086112.9162784661</v>
      </c>
      <c r="E33" s="484">
        <f t="shared" si="16"/>
        <v>44247.358974358976</v>
      </c>
      <c r="F33" s="485">
        <f t="shared" si="17"/>
        <v>1041865.5573041071</v>
      </c>
      <c r="G33" s="486">
        <f t="shared" si="18"/>
        <v>168603.35897435897</v>
      </c>
      <c r="H33" s="455">
        <f t="shared" si="19"/>
        <v>168603.35897435897</v>
      </c>
      <c r="I33" s="475">
        <f t="shared" si="4"/>
        <v>0</v>
      </c>
      <c r="J33" s="475"/>
      <c r="K33" s="487"/>
      <c r="L33" s="478">
        <f t="shared" si="20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 ht="12.5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1041865.5573041071</v>
      </c>
      <c r="E34" s="484">
        <f t="shared" si="16"/>
        <v>44247.358974358976</v>
      </c>
      <c r="F34" s="485">
        <f t="shared" si="17"/>
        <v>997618.19832974812</v>
      </c>
      <c r="G34" s="486">
        <f t="shared" si="18"/>
        <v>163322.35897435897</v>
      </c>
      <c r="H34" s="455">
        <f t="shared" si="19"/>
        <v>163322.35897435897</v>
      </c>
      <c r="I34" s="475">
        <f t="shared" si="4"/>
        <v>0</v>
      </c>
      <c r="J34" s="475"/>
      <c r="K34" s="487"/>
      <c r="L34" s="478">
        <f t="shared" si="20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 ht="12.5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997618.19832974812</v>
      </c>
      <c r="E35" s="484">
        <f t="shared" si="16"/>
        <v>44247.358974358976</v>
      </c>
      <c r="F35" s="485">
        <f t="shared" si="17"/>
        <v>953370.83935538912</v>
      </c>
      <c r="G35" s="486">
        <f t="shared" si="18"/>
        <v>158040.35897435897</v>
      </c>
      <c r="H35" s="455">
        <f t="shared" si="19"/>
        <v>158040.35897435897</v>
      </c>
      <c r="I35" s="475">
        <f t="shared" si="4"/>
        <v>0</v>
      </c>
      <c r="J35" s="475"/>
      <c r="K35" s="487"/>
      <c r="L35" s="478">
        <f t="shared" si="20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 ht="12.5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953370.83935538912</v>
      </c>
      <c r="E36" s="484">
        <f t="shared" si="16"/>
        <v>44247.358974358976</v>
      </c>
      <c r="F36" s="485">
        <f t="shared" si="17"/>
        <v>909123.48038103012</v>
      </c>
      <c r="G36" s="486">
        <f t="shared" si="18"/>
        <v>152759.35897435897</v>
      </c>
      <c r="H36" s="455">
        <f t="shared" si="19"/>
        <v>152759.35897435897</v>
      </c>
      <c r="I36" s="475">
        <f t="shared" si="4"/>
        <v>0</v>
      </c>
      <c r="J36" s="475"/>
      <c r="K36" s="487"/>
      <c r="L36" s="478">
        <f t="shared" si="20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 ht="12.5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909123.48038103012</v>
      </c>
      <c r="E37" s="484">
        <f t="shared" si="16"/>
        <v>44247.358974358976</v>
      </c>
      <c r="F37" s="485">
        <f t="shared" si="17"/>
        <v>864876.12140667113</v>
      </c>
      <c r="G37" s="486">
        <f t="shared" si="18"/>
        <v>147478.35897435897</v>
      </c>
      <c r="H37" s="455">
        <f t="shared" si="19"/>
        <v>147478.35897435897</v>
      </c>
      <c r="I37" s="475">
        <f t="shared" si="4"/>
        <v>0</v>
      </c>
      <c r="J37" s="475"/>
      <c r="K37" s="487"/>
      <c r="L37" s="478">
        <f t="shared" si="20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 ht="12.5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864876.12140667113</v>
      </c>
      <c r="E38" s="484">
        <f t="shared" si="16"/>
        <v>44247.358974358976</v>
      </c>
      <c r="F38" s="485">
        <f t="shared" si="17"/>
        <v>820628.76243231213</v>
      </c>
      <c r="G38" s="486">
        <f t="shared" si="18"/>
        <v>142196.35897435897</v>
      </c>
      <c r="H38" s="455">
        <f t="shared" si="19"/>
        <v>142196.35897435897</v>
      </c>
      <c r="I38" s="475">
        <f t="shared" si="4"/>
        <v>0</v>
      </c>
      <c r="J38" s="475"/>
      <c r="K38" s="487"/>
      <c r="L38" s="478">
        <f t="shared" si="20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 ht="12.5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820628.76243231213</v>
      </c>
      <c r="E39" s="484">
        <f t="shared" si="16"/>
        <v>44247.358974358976</v>
      </c>
      <c r="F39" s="485">
        <f t="shared" si="17"/>
        <v>776381.40345795313</v>
      </c>
      <c r="G39" s="486">
        <f t="shared" si="18"/>
        <v>136915.35897435897</v>
      </c>
      <c r="H39" s="455">
        <f t="shared" si="19"/>
        <v>136915.35897435897</v>
      </c>
      <c r="I39" s="475">
        <f t="shared" si="4"/>
        <v>0</v>
      </c>
      <c r="J39" s="475"/>
      <c r="K39" s="487"/>
      <c r="L39" s="478">
        <f t="shared" si="20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 ht="12.5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776381.40345795313</v>
      </c>
      <c r="E40" s="484">
        <f t="shared" si="16"/>
        <v>44247.358974358976</v>
      </c>
      <c r="F40" s="485">
        <f t="shared" si="17"/>
        <v>732134.04448359413</v>
      </c>
      <c r="G40" s="486">
        <f t="shared" si="18"/>
        <v>131634.35897435897</v>
      </c>
      <c r="H40" s="455">
        <f t="shared" si="19"/>
        <v>131634.35897435897</v>
      </c>
      <c r="I40" s="475">
        <f t="shared" si="4"/>
        <v>0</v>
      </c>
      <c r="J40" s="475"/>
      <c r="K40" s="487"/>
      <c r="L40" s="478">
        <f t="shared" si="20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 ht="12.5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732134.04448359413</v>
      </c>
      <c r="E41" s="484">
        <f t="shared" si="16"/>
        <v>44247.358974358976</v>
      </c>
      <c r="F41" s="485">
        <f t="shared" si="17"/>
        <v>687886.68550923513</v>
      </c>
      <c r="G41" s="486">
        <f t="shared" si="18"/>
        <v>126352.35897435897</v>
      </c>
      <c r="H41" s="455">
        <f t="shared" si="19"/>
        <v>126352.35897435897</v>
      </c>
      <c r="I41" s="475">
        <f t="shared" si="4"/>
        <v>0</v>
      </c>
      <c r="J41" s="475"/>
      <c r="K41" s="487"/>
      <c r="L41" s="478">
        <f t="shared" si="20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 ht="12.5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687886.68550923513</v>
      </c>
      <c r="E42" s="484">
        <f t="shared" si="16"/>
        <v>44247.358974358976</v>
      </c>
      <c r="F42" s="485">
        <f t="shared" si="17"/>
        <v>643639.32653487613</v>
      </c>
      <c r="G42" s="486">
        <f t="shared" si="18"/>
        <v>121071.35897435897</v>
      </c>
      <c r="H42" s="455">
        <f t="shared" si="19"/>
        <v>121071.35897435897</v>
      </c>
      <c r="I42" s="475">
        <f t="shared" si="4"/>
        <v>0</v>
      </c>
      <c r="J42" s="475"/>
      <c r="K42" s="487"/>
      <c r="L42" s="478">
        <f t="shared" si="20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 ht="12.5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643639.32653487613</v>
      </c>
      <c r="E43" s="484">
        <f t="shared" si="16"/>
        <v>44247.358974358976</v>
      </c>
      <c r="F43" s="485">
        <f t="shared" si="17"/>
        <v>599391.96756051714</v>
      </c>
      <c r="G43" s="486">
        <f t="shared" si="18"/>
        <v>115790.35897435897</v>
      </c>
      <c r="H43" s="455">
        <f t="shared" si="19"/>
        <v>115790.35897435897</v>
      </c>
      <c r="I43" s="475">
        <f t="shared" si="4"/>
        <v>0</v>
      </c>
      <c r="J43" s="475"/>
      <c r="K43" s="487"/>
      <c r="L43" s="478">
        <f t="shared" si="20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 ht="12.5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599391.96756051714</v>
      </c>
      <c r="E44" s="484">
        <f t="shared" si="16"/>
        <v>44247.358974358976</v>
      </c>
      <c r="F44" s="485">
        <f t="shared" si="17"/>
        <v>555144.60858615814</v>
      </c>
      <c r="G44" s="486">
        <f t="shared" si="18"/>
        <v>110508.35897435897</v>
      </c>
      <c r="H44" s="455">
        <f t="shared" si="19"/>
        <v>110508.35897435897</v>
      </c>
      <c r="I44" s="475">
        <f t="shared" si="4"/>
        <v>0</v>
      </c>
      <c r="J44" s="475"/>
      <c r="K44" s="487"/>
      <c r="L44" s="478">
        <f t="shared" si="20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 ht="12.5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555144.60858615814</v>
      </c>
      <c r="E45" s="484">
        <f t="shared" si="16"/>
        <v>44247.358974358976</v>
      </c>
      <c r="F45" s="485">
        <f t="shared" si="17"/>
        <v>510897.24961179914</v>
      </c>
      <c r="G45" s="486">
        <f t="shared" si="18"/>
        <v>105227.35897435897</v>
      </c>
      <c r="H45" s="455">
        <f t="shared" si="19"/>
        <v>105227.35897435897</v>
      </c>
      <c r="I45" s="475">
        <f t="shared" si="4"/>
        <v>0</v>
      </c>
      <c r="J45" s="475"/>
      <c r="K45" s="487"/>
      <c r="L45" s="478">
        <f t="shared" si="20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 ht="12.5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510897.24961179914</v>
      </c>
      <c r="E46" s="484">
        <f t="shared" si="16"/>
        <v>44247.358974358976</v>
      </c>
      <c r="F46" s="485">
        <f t="shared" si="17"/>
        <v>466649.89063744014</v>
      </c>
      <c r="G46" s="486">
        <f t="shared" si="18"/>
        <v>99946.358974358969</v>
      </c>
      <c r="H46" s="455">
        <f t="shared" si="19"/>
        <v>99946.358974358969</v>
      </c>
      <c r="I46" s="475">
        <f t="shared" si="4"/>
        <v>0</v>
      </c>
      <c r="J46" s="475"/>
      <c r="K46" s="487"/>
      <c r="L46" s="478">
        <f t="shared" si="20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 ht="12.5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466649.89063744014</v>
      </c>
      <c r="E47" s="484">
        <f t="shared" si="16"/>
        <v>44247.358974358976</v>
      </c>
      <c r="F47" s="485">
        <f t="shared" si="17"/>
        <v>422402.53166308114</v>
      </c>
      <c r="G47" s="486">
        <f t="shared" si="18"/>
        <v>94665.358974358969</v>
      </c>
      <c r="H47" s="455">
        <f t="shared" si="19"/>
        <v>94665.358974358969</v>
      </c>
      <c r="I47" s="475">
        <f t="shared" si="4"/>
        <v>0</v>
      </c>
      <c r="J47" s="475"/>
      <c r="K47" s="487"/>
      <c r="L47" s="478">
        <f t="shared" si="20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 ht="12.5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422402.53166308114</v>
      </c>
      <c r="E48" s="484">
        <f t="shared" si="16"/>
        <v>44247.358974358976</v>
      </c>
      <c r="F48" s="485">
        <f t="shared" si="17"/>
        <v>378155.17268872214</v>
      </c>
      <c r="G48" s="486">
        <f t="shared" si="18"/>
        <v>89383.358974358969</v>
      </c>
      <c r="H48" s="455">
        <f t="shared" si="19"/>
        <v>89383.358974358969</v>
      </c>
      <c r="I48" s="475">
        <f t="shared" si="4"/>
        <v>0</v>
      </c>
      <c r="J48" s="475"/>
      <c r="K48" s="487"/>
      <c r="L48" s="478">
        <f t="shared" si="20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 ht="12.5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378155.17268872214</v>
      </c>
      <c r="E49" s="484">
        <f t="shared" si="16"/>
        <v>44247.358974358976</v>
      </c>
      <c r="F49" s="485">
        <f t="shared" si="17"/>
        <v>333907.81371436315</v>
      </c>
      <c r="G49" s="486">
        <f t="shared" si="18"/>
        <v>84102.358974358969</v>
      </c>
      <c r="H49" s="455">
        <f t="shared" si="19"/>
        <v>84102.358974358969</v>
      </c>
      <c r="I49" s="475">
        <f t="shared" si="4"/>
        <v>0</v>
      </c>
      <c r="J49" s="475"/>
      <c r="K49" s="487"/>
      <c r="L49" s="478">
        <f t="shared" si="20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 ht="12.5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333907.81371436315</v>
      </c>
      <c r="E50" s="484">
        <f t="shared" si="16"/>
        <v>44247.358974358976</v>
      </c>
      <c r="F50" s="485">
        <f t="shared" si="17"/>
        <v>289660.45474000415</v>
      </c>
      <c r="G50" s="486">
        <f t="shared" si="18"/>
        <v>78821.358974358969</v>
      </c>
      <c r="H50" s="455">
        <f t="shared" si="19"/>
        <v>78821.358974358969</v>
      </c>
      <c r="I50" s="475">
        <f t="shared" si="4"/>
        <v>0</v>
      </c>
      <c r="J50" s="475"/>
      <c r="K50" s="487"/>
      <c r="L50" s="478">
        <f t="shared" si="20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 ht="12.5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289660.45474000415</v>
      </c>
      <c r="E51" s="484">
        <f t="shared" si="16"/>
        <v>44247.358974358976</v>
      </c>
      <c r="F51" s="485">
        <f t="shared" si="17"/>
        <v>245413.09576564518</v>
      </c>
      <c r="G51" s="486">
        <f t="shared" si="18"/>
        <v>73539.358974358969</v>
      </c>
      <c r="H51" s="455">
        <f t="shared" si="19"/>
        <v>73539.358974358969</v>
      </c>
      <c r="I51" s="475">
        <f t="shared" si="4"/>
        <v>0</v>
      </c>
      <c r="J51" s="475"/>
      <c r="K51" s="487"/>
      <c r="L51" s="478">
        <f t="shared" si="20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 ht="12.5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245413.09576564518</v>
      </c>
      <c r="E52" s="484">
        <f t="shared" si="16"/>
        <v>44247.358974358976</v>
      </c>
      <c r="F52" s="485">
        <f t="shared" si="17"/>
        <v>201165.73679128621</v>
      </c>
      <c r="G52" s="486">
        <f t="shared" si="18"/>
        <v>68258.358974358969</v>
      </c>
      <c r="H52" s="455">
        <f t="shared" si="19"/>
        <v>68258.358974358969</v>
      </c>
      <c r="I52" s="475">
        <f t="shared" si="4"/>
        <v>0</v>
      </c>
      <c r="J52" s="475"/>
      <c r="K52" s="487"/>
      <c r="L52" s="478">
        <f t="shared" si="20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 ht="12.5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201165.73679128621</v>
      </c>
      <c r="E53" s="484">
        <f t="shared" si="16"/>
        <v>44247.358974358976</v>
      </c>
      <c r="F53" s="485">
        <f t="shared" si="17"/>
        <v>156918.37781692724</v>
      </c>
      <c r="G53" s="486">
        <f t="shared" si="18"/>
        <v>62977.358974358976</v>
      </c>
      <c r="H53" s="455">
        <f t="shared" si="19"/>
        <v>62977.358974358976</v>
      </c>
      <c r="I53" s="475">
        <f t="shared" si="4"/>
        <v>0</v>
      </c>
      <c r="J53" s="475"/>
      <c r="K53" s="487"/>
      <c r="L53" s="478">
        <f t="shared" si="20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 ht="12.5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156918.37781692724</v>
      </c>
      <c r="E54" s="484">
        <f t="shared" si="16"/>
        <v>44247.358974358976</v>
      </c>
      <c r="F54" s="485">
        <f t="shared" si="17"/>
        <v>112671.01884256827</v>
      </c>
      <c r="G54" s="486">
        <f t="shared" si="18"/>
        <v>57695.358974358976</v>
      </c>
      <c r="H54" s="455">
        <f t="shared" si="19"/>
        <v>57695.358974358976</v>
      </c>
      <c r="I54" s="475">
        <f t="shared" si="4"/>
        <v>0</v>
      </c>
      <c r="J54" s="475"/>
      <c r="K54" s="487"/>
      <c r="L54" s="478">
        <f t="shared" si="20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 ht="12.5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112671.01884256827</v>
      </c>
      <c r="E55" s="484">
        <f t="shared" si="16"/>
        <v>44247.358974358976</v>
      </c>
      <c r="F55" s="485">
        <f t="shared" si="17"/>
        <v>68423.659868209303</v>
      </c>
      <c r="G55" s="486">
        <f t="shared" si="18"/>
        <v>52414.358974358976</v>
      </c>
      <c r="H55" s="455">
        <f t="shared" si="19"/>
        <v>52414.358974358976</v>
      </c>
      <c r="I55" s="475">
        <f t="shared" si="4"/>
        <v>0</v>
      </c>
      <c r="J55" s="475"/>
      <c r="K55" s="487"/>
      <c r="L55" s="478">
        <f t="shared" si="20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 ht="12.5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68423.659868209303</v>
      </c>
      <c r="E56" s="484">
        <f t="shared" si="16"/>
        <v>44247.358974358976</v>
      </c>
      <c r="F56" s="485">
        <f t="shared" si="17"/>
        <v>24176.300893850326</v>
      </c>
      <c r="G56" s="486">
        <f t="shared" si="18"/>
        <v>47133.358974358976</v>
      </c>
      <c r="H56" s="455">
        <f t="shared" si="19"/>
        <v>47133.358974358976</v>
      </c>
      <c r="I56" s="475">
        <f t="shared" si="4"/>
        <v>0</v>
      </c>
      <c r="J56" s="475"/>
      <c r="K56" s="487"/>
      <c r="L56" s="478">
        <f t="shared" si="20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 ht="12.5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24176.300893850326</v>
      </c>
      <c r="E57" s="484">
        <f t="shared" si="16"/>
        <v>24176.300893850326</v>
      </c>
      <c r="F57" s="485">
        <f t="shared" si="17"/>
        <v>0</v>
      </c>
      <c r="G57" s="486">
        <f t="shared" si="18"/>
        <v>24176.300893850326</v>
      </c>
      <c r="H57" s="455">
        <f t="shared" si="19"/>
        <v>24176.300893850326</v>
      </c>
      <c r="I57" s="475">
        <f t="shared" si="4"/>
        <v>0</v>
      </c>
      <c r="J57" s="475"/>
      <c r="K57" s="487"/>
      <c r="L57" s="478">
        <f t="shared" si="20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 ht="12.5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0</v>
      </c>
      <c r="E58" s="484">
        <f t="shared" si="16"/>
        <v>0</v>
      </c>
      <c r="F58" s="485">
        <f t="shared" si="17"/>
        <v>0</v>
      </c>
      <c r="G58" s="486">
        <f t="shared" si="18"/>
        <v>0</v>
      </c>
      <c r="H58" s="455">
        <f t="shared" si="19"/>
        <v>0</v>
      </c>
      <c r="I58" s="475">
        <f t="shared" si="4"/>
        <v>0</v>
      </c>
      <c r="J58" s="475"/>
      <c r="K58" s="487"/>
      <c r="L58" s="478">
        <f t="shared" si="20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 ht="12.5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0</v>
      </c>
      <c r="E59" s="484">
        <f t="shared" si="16"/>
        <v>0</v>
      </c>
      <c r="F59" s="485">
        <f t="shared" si="17"/>
        <v>0</v>
      </c>
      <c r="G59" s="486">
        <f t="shared" si="18"/>
        <v>0</v>
      </c>
      <c r="H59" s="455">
        <f t="shared" si="19"/>
        <v>0</v>
      </c>
      <c r="I59" s="475">
        <f t="shared" si="4"/>
        <v>0</v>
      </c>
      <c r="J59" s="475"/>
      <c r="K59" s="487"/>
      <c r="L59" s="478">
        <f t="shared" si="20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 ht="12.5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6"/>
        <v>0</v>
      </c>
      <c r="F60" s="485">
        <f t="shared" si="17"/>
        <v>0</v>
      </c>
      <c r="G60" s="486">
        <f t="shared" si="18"/>
        <v>0</v>
      </c>
      <c r="H60" s="455">
        <f t="shared" si="19"/>
        <v>0</v>
      </c>
      <c r="I60" s="475">
        <f t="shared" si="4"/>
        <v>0</v>
      </c>
      <c r="J60" s="475"/>
      <c r="K60" s="487"/>
      <c r="L60" s="478">
        <f t="shared" si="20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 ht="12.5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6"/>
        <v>0</v>
      </c>
      <c r="F61" s="485">
        <f t="shared" si="17"/>
        <v>0</v>
      </c>
      <c r="G61" s="486">
        <f t="shared" si="18"/>
        <v>0</v>
      </c>
      <c r="H61" s="455">
        <f t="shared" si="19"/>
        <v>0</v>
      </c>
      <c r="I61" s="475">
        <f t="shared" si="4"/>
        <v>0</v>
      </c>
      <c r="J61" s="475"/>
      <c r="K61" s="487"/>
      <c r="L61" s="478">
        <f t="shared" si="20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 ht="12.5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6"/>
        <v>0</v>
      </c>
      <c r="F62" s="485">
        <f t="shared" si="17"/>
        <v>0</v>
      </c>
      <c r="G62" s="486">
        <f t="shared" si="18"/>
        <v>0</v>
      </c>
      <c r="H62" s="455">
        <f t="shared" si="19"/>
        <v>0</v>
      </c>
      <c r="I62" s="475">
        <f t="shared" si="4"/>
        <v>0</v>
      </c>
      <c r="J62" s="475"/>
      <c r="K62" s="487"/>
      <c r="L62" s="478">
        <f t="shared" si="20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 ht="12.5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6"/>
        <v>0</v>
      </c>
      <c r="F63" s="485">
        <f t="shared" si="17"/>
        <v>0</v>
      </c>
      <c r="G63" s="486">
        <f t="shared" si="18"/>
        <v>0</v>
      </c>
      <c r="H63" s="455">
        <f t="shared" si="19"/>
        <v>0</v>
      </c>
      <c r="I63" s="475">
        <f t="shared" si="4"/>
        <v>0</v>
      </c>
      <c r="J63" s="475"/>
      <c r="K63" s="487"/>
      <c r="L63" s="478">
        <f t="shared" si="20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 ht="12.5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6"/>
        <v>0</v>
      </c>
      <c r="F64" s="485">
        <f t="shared" si="17"/>
        <v>0</v>
      </c>
      <c r="G64" s="486">
        <f t="shared" si="18"/>
        <v>0</v>
      </c>
      <c r="H64" s="455">
        <f t="shared" si="19"/>
        <v>0</v>
      </c>
      <c r="I64" s="475">
        <f t="shared" si="4"/>
        <v>0</v>
      </c>
      <c r="J64" s="475"/>
      <c r="K64" s="487"/>
      <c r="L64" s="478">
        <f t="shared" si="20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 ht="12.5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6"/>
        <v>0</v>
      </c>
      <c r="F65" s="485">
        <f t="shared" si="17"/>
        <v>0</v>
      </c>
      <c r="G65" s="486">
        <f t="shared" si="18"/>
        <v>0</v>
      </c>
      <c r="H65" s="455">
        <f t="shared" si="19"/>
        <v>0</v>
      </c>
      <c r="I65" s="475">
        <f t="shared" si="4"/>
        <v>0</v>
      </c>
      <c r="J65" s="475"/>
      <c r="K65" s="487"/>
      <c r="L65" s="478">
        <f t="shared" si="20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 ht="12.5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6"/>
        <v>0</v>
      </c>
      <c r="F66" s="485">
        <f t="shared" si="17"/>
        <v>0</v>
      </c>
      <c r="G66" s="486">
        <f t="shared" si="18"/>
        <v>0</v>
      </c>
      <c r="H66" s="455">
        <f t="shared" si="19"/>
        <v>0</v>
      </c>
      <c r="I66" s="475">
        <f t="shared" si="4"/>
        <v>0</v>
      </c>
      <c r="J66" s="475"/>
      <c r="K66" s="487"/>
      <c r="L66" s="478">
        <f t="shared" si="20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 ht="12.5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6"/>
        <v>0</v>
      </c>
      <c r="F67" s="485">
        <f t="shared" si="17"/>
        <v>0</v>
      </c>
      <c r="G67" s="486">
        <f t="shared" si="18"/>
        <v>0</v>
      </c>
      <c r="H67" s="455">
        <f t="shared" si="19"/>
        <v>0</v>
      </c>
      <c r="I67" s="475">
        <f t="shared" si="4"/>
        <v>0</v>
      </c>
      <c r="J67" s="475"/>
      <c r="K67" s="487"/>
      <c r="L67" s="478">
        <f t="shared" si="20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 ht="12.5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6"/>
        <v>0</v>
      </c>
      <c r="F68" s="485">
        <f t="shared" si="17"/>
        <v>0</v>
      </c>
      <c r="G68" s="486">
        <f t="shared" si="18"/>
        <v>0</v>
      </c>
      <c r="H68" s="455">
        <f t="shared" si="19"/>
        <v>0</v>
      </c>
      <c r="I68" s="475">
        <f t="shared" si="4"/>
        <v>0</v>
      </c>
      <c r="J68" s="475"/>
      <c r="K68" s="487"/>
      <c r="L68" s="478">
        <f t="shared" si="20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 ht="12.5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6"/>
        <v>0</v>
      </c>
      <c r="F69" s="485">
        <f t="shared" si="17"/>
        <v>0</v>
      </c>
      <c r="G69" s="486">
        <f t="shared" si="18"/>
        <v>0</v>
      </c>
      <c r="H69" s="455">
        <f t="shared" si="19"/>
        <v>0</v>
      </c>
      <c r="I69" s="475">
        <f t="shared" si="4"/>
        <v>0</v>
      </c>
      <c r="J69" s="475"/>
      <c r="K69" s="487"/>
      <c r="L69" s="478">
        <f t="shared" si="20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 ht="12.5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6"/>
        <v>0</v>
      </c>
      <c r="F70" s="485">
        <f t="shared" si="17"/>
        <v>0</v>
      </c>
      <c r="G70" s="486">
        <f t="shared" si="18"/>
        <v>0</v>
      </c>
      <c r="H70" s="455">
        <f t="shared" si="19"/>
        <v>0</v>
      </c>
      <c r="I70" s="475">
        <f t="shared" si="4"/>
        <v>0</v>
      </c>
      <c r="J70" s="475"/>
      <c r="K70" s="487"/>
      <c r="L70" s="478">
        <f t="shared" si="20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 ht="12.5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6"/>
        <v>0</v>
      </c>
      <c r="F71" s="485">
        <f t="shared" si="17"/>
        <v>0</v>
      </c>
      <c r="G71" s="486">
        <f t="shared" si="18"/>
        <v>0</v>
      </c>
      <c r="H71" s="455">
        <f t="shared" si="19"/>
        <v>0</v>
      </c>
      <c r="I71" s="475">
        <f t="shared" si="4"/>
        <v>0</v>
      </c>
      <c r="J71" s="475"/>
      <c r="K71" s="487"/>
      <c r="L71" s="478">
        <f t="shared" si="20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6"/>
        <v>0</v>
      </c>
      <c r="F72" s="490">
        <f t="shared" si="17"/>
        <v>0</v>
      </c>
      <c r="G72" s="544">
        <f t="shared" si="18"/>
        <v>0</v>
      </c>
      <c r="H72" s="435">
        <f t="shared" si="19"/>
        <v>0</v>
      </c>
      <c r="I72" s="493">
        <f t="shared" si="4"/>
        <v>0</v>
      </c>
      <c r="J72" s="475"/>
      <c r="K72" s="494"/>
      <c r="L72" s="495">
        <f t="shared" si="20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 ht="12.5">
      <c r="C73" s="346" t="s">
        <v>77</v>
      </c>
      <c r="D73" s="347"/>
      <c r="E73" s="347">
        <f>SUM(E17:E72)</f>
        <v>1725647.0000000002</v>
      </c>
      <c r="F73" s="347"/>
      <c r="G73" s="347">
        <f>SUM(G17:G72)</f>
        <v>5982893.0684331488</v>
      </c>
      <c r="H73" s="347">
        <f>SUM(H17:H72)</f>
        <v>5982893.0684331488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18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195063.32209302325</v>
      </c>
      <c r="N87" s="508">
        <f>IF(J92&lt;D11,0,VLOOKUP(J92,C17:O72,11))</f>
        <v>195063.32209302325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209872.31988794773</v>
      </c>
      <c r="N88" s="512">
        <f>IF(J92&lt;D11,0,VLOOKUP(J92,C99:P154,7))</f>
        <v>209872.31988794773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Darlington-Red Rock 138 kV line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14808.997794924479</v>
      </c>
      <c r="N89" s="517">
        <f>+N88-N87</f>
        <v>14808.997794924479</v>
      </c>
      <c r="O89" s="518">
        <f>+O88-O87</f>
        <v>0</v>
      </c>
      <c r="P89" s="232"/>
    </row>
    <row r="90" spans="1:16" ht="13.5" thickBot="1">
      <c r="C90" s="496"/>
      <c r="D90" s="611" t="s">
        <v>274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TP2012112</v>
      </c>
      <c r="E91" s="522" t="str">
        <f>E9</f>
        <v xml:space="preserve">  SPP Project ID = 30746</v>
      </c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609">
        <v>1725647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42089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2014</v>
      </c>
      <c r="D99" s="584"/>
      <c r="E99" s="585"/>
      <c r="F99" s="586"/>
      <c r="G99" s="605"/>
      <c r="H99" s="606"/>
      <c r="I99" s="607"/>
      <c r="J99" s="478">
        <v>0</v>
      </c>
      <c r="K99" s="478"/>
      <c r="L99" s="476">
        <f t="shared" ref="L99:L105" si="21">H99</f>
        <v>0</v>
      </c>
      <c r="M99" s="348">
        <f t="shared" ref="M99:M105" si="22">IF(L99&lt;&gt;0,+H99-L99,0)</f>
        <v>0</v>
      </c>
      <c r="N99" s="476">
        <f t="shared" ref="N99:N105" si="23">I99</f>
        <v>0</v>
      </c>
      <c r="O99" s="475">
        <f>IF(N99&lt;&gt;0,+I99-N99,0)</f>
        <v>0</v>
      </c>
      <c r="P99" s="478">
        <f>+O99-M99</f>
        <v>0</v>
      </c>
    </row>
    <row r="100" spans="1:16" ht="12.5">
      <c r="B100" s="160" t="str">
        <f>IF(D100=F99,"","IU")</f>
        <v>IU</v>
      </c>
      <c r="C100" s="472">
        <f>IF(D93="","-",+C99+1)</f>
        <v>2015</v>
      </c>
      <c r="D100" s="578">
        <v>1703523.1724358976</v>
      </c>
      <c r="E100" s="579">
        <v>32760</v>
      </c>
      <c r="F100" s="578">
        <v>1670763.1724358976</v>
      </c>
      <c r="G100" s="579">
        <v>1687143.1724358976</v>
      </c>
      <c r="H100" s="602">
        <v>262957.1205792831</v>
      </c>
      <c r="I100" s="578">
        <v>262957.1205792831</v>
      </c>
      <c r="J100" s="478">
        <f>+I100-H100</f>
        <v>0</v>
      </c>
      <c r="K100" s="478"/>
      <c r="L100" s="476">
        <f t="shared" si="21"/>
        <v>262957.1205792831</v>
      </c>
      <c r="M100" s="348">
        <f t="shared" si="22"/>
        <v>0</v>
      </c>
      <c r="N100" s="476">
        <f t="shared" si="23"/>
        <v>262957.1205792831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24">IF(D101=F100,"","IU")</f>
        <v>IU</v>
      </c>
      <c r="C101" s="472">
        <f>IF(D93="","-",+C100+1)</f>
        <v>2016</v>
      </c>
      <c r="D101" s="578">
        <v>1692887</v>
      </c>
      <c r="E101" s="579">
        <v>37514</v>
      </c>
      <c r="F101" s="578">
        <v>1655373</v>
      </c>
      <c r="G101" s="579">
        <v>1674130</v>
      </c>
      <c r="H101" s="602">
        <v>250555.65084872485</v>
      </c>
      <c r="I101" s="578">
        <v>250555.65084872485</v>
      </c>
      <c r="J101" s="478">
        <f t="shared" ref="J101:J154" si="25">+I101-H101</f>
        <v>0</v>
      </c>
      <c r="K101" s="478"/>
      <c r="L101" s="476">
        <f t="shared" si="21"/>
        <v>250555.65084872485</v>
      </c>
      <c r="M101" s="348">
        <f t="shared" si="22"/>
        <v>0</v>
      </c>
      <c r="N101" s="476">
        <f t="shared" si="23"/>
        <v>250555.65084872485</v>
      </c>
      <c r="O101" s="475">
        <f>IF(N101&lt;&gt;0,+I101-N101,0)</f>
        <v>0</v>
      </c>
      <c r="P101" s="478">
        <f>+O101-M101</f>
        <v>0</v>
      </c>
    </row>
    <row r="102" spans="1:16" ht="12.5">
      <c r="B102" s="160" t="str">
        <f t="shared" si="24"/>
        <v/>
      </c>
      <c r="C102" s="472">
        <f>IF(D93="","-",+C101+1)</f>
        <v>2017</v>
      </c>
      <c r="D102" s="578">
        <v>1655373</v>
      </c>
      <c r="E102" s="579">
        <v>37514</v>
      </c>
      <c r="F102" s="578">
        <v>1617859</v>
      </c>
      <c r="G102" s="579">
        <v>1636616</v>
      </c>
      <c r="H102" s="602">
        <v>245122.86632871011</v>
      </c>
      <c r="I102" s="578">
        <v>245122.86632871011</v>
      </c>
      <c r="J102" s="478">
        <f t="shared" si="25"/>
        <v>0</v>
      </c>
      <c r="K102" s="478"/>
      <c r="L102" s="476">
        <f t="shared" si="21"/>
        <v>245122.86632871011</v>
      </c>
      <c r="M102" s="348">
        <f t="shared" si="22"/>
        <v>0</v>
      </c>
      <c r="N102" s="476">
        <f t="shared" si="23"/>
        <v>245122.86632871011</v>
      </c>
      <c r="O102" s="475">
        <f>IF(N102&lt;&gt;0,+I102-N102,0)</f>
        <v>0</v>
      </c>
      <c r="P102" s="478">
        <f>+O102-M102</f>
        <v>0</v>
      </c>
    </row>
    <row r="103" spans="1:16" ht="12.5">
      <c r="B103" s="160" t="str">
        <f t="shared" si="24"/>
        <v/>
      </c>
      <c r="C103" s="472">
        <f>IF(D93="","-",+C102+1)</f>
        <v>2018</v>
      </c>
      <c r="D103" s="578">
        <v>1617859</v>
      </c>
      <c r="E103" s="579">
        <v>40131</v>
      </c>
      <c r="F103" s="578">
        <v>1577728</v>
      </c>
      <c r="G103" s="579">
        <v>1597793.5</v>
      </c>
      <c r="H103" s="602">
        <v>204281.22089486517</v>
      </c>
      <c r="I103" s="578">
        <v>204281.22089486517</v>
      </c>
      <c r="J103" s="478">
        <f t="shared" si="25"/>
        <v>0</v>
      </c>
      <c r="K103" s="478"/>
      <c r="L103" s="476">
        <f t="shared" si="21"/>
        <v>204281.22089486517</v>
      </c>
      <c r="M103" s="348">
        <f t="shared" si="22"/>
        <v>0</v>
      </c>
      <c r="N103" s="476">
        <f t="shared" si="23"/>
        <v>204281.22089486517</v>
      </c>
      <c r="O103" s="475">
        <f>IF(N103&lt;&gt;0,+I103-N103,0)</f>
        <v>0</v>
      </c>
      <c r="P103" s="478">
        <f>+O103-M103</f>
        <v>0</v>
      </c>
    </row>
    <row r="104" spans="1:16" ht="12.5">
      <c r="B104" s="160" t="str">
        <f t="shared" si="24"/>
        <v/>
      </c>
      <c r="C104" s="472">
        <f>IF(D93="","-",+C103+1)</f>
        <v>2019</v>
      </c>
      <c r="D104" s="578">
        <v>1577728</v>
      </c>
      <c r="E104" s="579">
        <v>42089</v>
      </c>
      <c r="F104" s="578">
        <v>1535639</v>
      </c>
      <c r="G104" s="579">
        <v>1556683.5</v>
      </c>
      <c r="H104" s="602">
        <v>202604.90301828689</v>
      </c>
      <c r="I104" s="578">
        <v>202604.90301828689</v>
      </c>
      <c r="J104" s="478">
        <f t="shared" si="25"/>
        <v>0</v>
      </c>
      <c r="K104" s="478"/>
      <c r="L104" s="476">
        <f t="shared" si="21"/>
        <v>202604.90301828689</v>
      </c>
      <c r="M104" s="348">
        <f t="shared" si="22"/>
        <v>0</v>
      </c>
      <c r="N104" s="476">
        <f t="shared" si="23"/>
        <v>202604.90301828689</v>
      </c>
      <c r="O104" s="478">
        <f t="shared" ref="O104:O130" si="26">IF(N104&lt;&gt;0,+I104-N104,0)</f>
        <v>0</v>
      </c>
      <c r="P104" s="478">
        <f t="shared" ref="P104:P130" si="27">+O104-M104</f>
        <v>0</v>
      </c>
    </row>
    <row r="105" spans="1:16" ht="12.5">
      <c r="B105" s="160" t="str">
        <f t="shared" si="24"/>
        <v/>
      </c>
      <c r="C105" s="472">
        <f>IF(D93="","-",+C104+1)</f>
        <v>2020</v>
      </c>
      <c r="D105" s="578">
        <v>1535639</v>
      </c>
      <c r="E105" s="579">
        <v>40131</v>
      </c>
      <c r="F105" s="578">
        <v>1495508</v>
      </c>
      <c r="G105" s="579">
        <v>1515573.5</v>
      </c>
      <c r="H105" s="602">
        <v>214872.45782422918</v>
      </c>
      <c r="I105" s="578">
        <v>214872.45782422918</v>
      </c>
      <c r="J105" s="478">
        <f t="shared" si="25"/>
        <v>0</v>
      </c>
      <c r="K105" s="478"/>
      <c r="L105" s="476">
        <f t="shared" si="21"/>
        <v>214872.45782422918</v>
      </c>
      <c r="M105" s="348">
        <f t="shared" si="22"/>
        <v>0</v>
      </c>
      <c r="N105" s="476">
        <f t="shared" si="23"/>
        <v>214872.45782422918</v>
      </c>
      <c r="O105" s="478">
        <f t="shared" si="26"/>
        <v>0</v>
      </c>
      <c r="P105" s="478">
        <f t="shared" si="27"/>
        <v>0</v>
      </c>
    </row>
    <row r="106" spans="1:16" ht="12.5">
      <c r="B106" s="160" t="str">
        <f t="shared" si="24"/>
        <v/>
      </c>
      <c r="C106" s="472">
        <f>IF(D93="","-",+C105+1)</f>
        <v>2021</v>
      </c>
      <c r="D106" s="346">
        <f>IF(F105+SUM(E$99:E105)=D$92,F105,D$92-SUM(E$99:E105))</f>
        <v>1495508</v>
      </c>
      <c r="E106" s="484">
        <f t="shared" ref="E106:E154" si="28">IF(+J$96&lt;F105,J$96,D106)</f>
        <v>42089</v>
      </c>
      <c r="F106" s="485">
        <f t="shared" ref="F106:F154" si="29">+D106-E106</f>
        <v>1453419</v>
      </c>
      <c r="G106" s="485">
        <f t="shared" ref="G106:G154" si="30">+(F106+D106)/2</f>
        <v>1474463.5</v>
      </c>
      <c r="H106" s="488">
        <f t="shared" ref="H106:H154" si="31">+J$94*G106+E106</f>
        <v>209872.31988794773</v>
      </c>
      <c r="I106" s="542">
        <f t="shared" ref="I106:I154" si="32">+J$95*G106+E106</f>
        <v>209872.31988794773</v>
      </c>
      <c r="J106" s="478">
        <f t="shared" si="25"/>
        <v>0</v>
      </c>
      <c r="K106" s="478"/>
      <c r="L106" s="487"/>
      <c r="M106" s="478">
        <f t="shared" ref="M106:M130" si="33">IF(L106&lt;&gt;0,+H106-L106,0)</f>
        <v>0</v>
      </c>
      <c r="N106" s="487"/>
      <c r="O106" s="478">
        <f t="shared" si="26"/>
        <v>0</v>
      </c>
      <c r="P106" s="478">
        <f t="shared" si="27"/>
        <v>0</v>
      </c>
    </row>
    <row r="107" spans="1:16" ht="12.5">
      <c r="B107" s="160" t="str">
        <f t="shared" si="24"/>
        <v/>
      </c>
      <c r="C107" s="472">
        <f>IF(D93="","-",+C106+1)</f>
        <v>2022</v>
      </c>
      <c r="D107" s="346">
        <f>IF(F106+SUM(E$99:E106)=D$92,F106,D$92-SUM(E$99:E106))</f>
        <v>1453419</v>
      </c>
      <c r="E107" s="484">
        <f t="shared" si="28"/>
        <v>42089</v>
      </c>
      <c r="F107" s="485">
        <f t="shared" si="29"/>
        <v>1411330</v>
      </c>
      <c r="G107" s="485">
        <f t="shared" si="30"/>
        <v>1432374.5</v>
      </c>
      <c r="H107" s="488">
        <f t="shared" si="31"/>
        <v>205082.89502204646</v>
      </c>
      <c r="I107" s="542">
        <f t="shared" si="32"/>
        <v>205082.89502204646</v>
      </c>
      <c r="J107" s="478">
        <f t="shared" si="25"/>
        <v>0</v>
      </c>
      <c r="K107" s="478"/>
      <c r="L107" s="487"/>
      <c r="M107" s="478">
        <f t="shared" si="33"/>
        <v>0</v>
      </c>
      <c r="N107" s="487"/>
      <c r="O107" s="478">
        <f t="shared" si="26"/>
        <v>0</v>
      </c>
      <c r="P107" s="478">
        <f t="shared" si="27"/>
        <v>0</v>
      </c>
    </row>
    <row r="108" spans="1:16" ht="12.5">
      <c r="B108" s="160" t="str">
        <f t="shared" si="24"/>
        <v/>
      </c>
      <c r="C108" s="472">
        <f>IF(D93="","-",+C107+1)</f>
        <v>2023</v>
      </c>
      <c r="D108" s="346">
        <f>IF(F107+SUM(E$99:E107)=D$92,F107,D$92-SUM(E$99:E107))</f>
        <v>1411330</v>
      </c>
      <c r="E108" s="484">
        <f t="shared" si="28"/>
        <v>42089</v>
      </c>
      <c r="F108" s="485">
        <f t="shared" si="29"/>
        <v>1369241</v>
      </c>
      <c r="G108" s="485">
        <f t="shared" si="30"/>
        <v>1390285.5</v>
      </c>
      <c r="H108" s="488">
        <f t="shared" si="31"/>
        <v>200293.47015614517</v>
      </c>
      <c r="I108" s="542">
        <f t="shared" si="32"/>
        <v>200293.47015614517</v>
      </c>
      <c r="J108" s="478">
        <f t="shared" si="25"/>
        <v>0</v>
      </c>
      <c r="K108" s="478"/>
      <c r="L108" s="487"/>
      <c r="M108" s="478">
        <f t="shared" si="33"/>
        <v>0</v>
      </c>
      <c r="N108" s="487"/>
      <c r="O108" s="478">
        <f t="shared" si="26"/>
        <v>0</v>
      </c>
      <c r="P108" s="478">
        <f t="shared" si="27"/>
        <v>0</v>
      </c>
    </row>
    <row r="109" spans="1:16" ht="12.5">
      <c r="B109" s="160" t="str">
        <f t="shared" si="24"/>
        <v/>
      </c>
      <c r="C109" s="472">
        <f>IF(D93="","-",+C108+1)</f>
        <v>2024</v>
      </c>
      <c r="D109" s="346">
        <f>IF(F108+SUM(E$99:E108)=D$92,F108,D$92-SUM(E$99:E108))</f>
        <v>1369241</v>
      </c>
      <c r="E109" s="484">
        <f t="shared" si="28"/>
        <v>42089</v>
      </c>
      <c r="F109" s="485">
        <f t="shared" si="29"/>
        <v>1327152</v>
      </c>
      <c r="G109" s="485">
        <f t="shared" si="30"/>
        <v>1348196.5</v>
      </c>
      <c r="H109" s="488">
        <f t="shared" si="31"/>
        <v>195504.0452902439</v>
      </c>
      <c r="I109" s="542">
        <f t="shared" si="32"/>
        <v>195504.0452902439</v>
      </c>
      <c r="J109" s="478">
        <f t="shared" si="25"/>
        <v>0</v>
      </c>
      <c r="K109" s="478"/>
      <c r="L109" s="487"/>
      <c r="M109" s="478">
        <f t="shared" si="33"/>
        <v>0</v>
      </c>
      <c r="N109" s="487"/>
      <c r="O109" s="478">
        <f t="shared" si="26"/>
        <v>0</v>
      </c>
      <c r="P109" s="478">
        <f t="shared" si="27"/>
        <v>0</v>
      </c>
    </row>
    <row r="110" spans="1:16" ht="12.5">
      <c r="B110" s="160" t="str">
        <f t="shared" si="24"/>
        <v/>
      </c>
      <c r="C110" s="472">
        <f>IF(D93="","-",+C109+1)</f>
        <v>2025</v>
      </c>
      <c r="D110" s="346">
        <f>IF(F109+SUM(E$99:E109)=D$92,F109,D$92-SUM(E$99:E109))</f>
        <v>1327152</v>
      </c>
      <c r="E110" s="484">
        <f t="shared" si="28"/>
        <v>42089</v>
      </c>
      <c r="F110" s="485">
        <f t="shared" si="29"/>
        <v>1285063</v>
      </c>
      <c r="G110" s="485">
        <f t="shared" si="30"/>
        <v>1306107.5</v>
      </c>
      <c r="H110" s="488">
        <f t="shared" si="31"/>
        <v>190714.6204243426</v>
      </c>
      <c r="I110" s="542">
        <f t="shared" si="32"/>
        <v>190714.6204243426</v>
      </c>
      <c r="J110" s="478">
        <f t="shared" si="25"/>
        <v>0</v>
      </c>
      <c r="K110" s="478"/>
      <c r="L110" s="487"/>
      <c r="M110" s="478">
        <f t="shared" si="33"/>
        <v>0</v>
      </c>
      <c r="N110" s="487"/>
      <c r="O110" s="478">
        <f t="shared" si="26"/>
        <v>0</v>
      </c>
      <c r="P110" s="478">
        <f t="shared" si="27"/>
        <v>0</v>
      </c>
    </row>
    <row r="111" spans="1:16" ht="12.5">
      <c r="B111" s="160" t="str">
        <f t="shared" si="24"/>
        <v/>
      </c>
      <c r="C111" s="472">
        <f>IF(D93="","-",+C110+1)</f>
        <v>2026</v>
      </c>
      <c r="D111" s="346">
        <f>IF(F110+SUM(E$99:E110)=D$92,F110,D$92-SUM(E$99:E110))</f>
        <v>1285063</v>
      </c>
      <c r="E111" s="484">
        <f t="shared" si="28"/>
        <v>42089</v>
      </c>
      <c r="F111" s="485">
        <f t="shared" si="29"/>
        <v>1242974</v>
      </c>
      <c r="G111" s="485">
        <f t="shared" si="30"/>
        <v>1264018.5</v>
      </c>
      <c r="H111" s="488">
        <f t="shared" si="31"/>
        <v>185925.19555844134</v>
      </c>
      <c r="I111" s="542">
        <f t="shared" si="32"/>
        <v>185925.19555844134</v>
      </c>
      <c r="J111" s="478">
        <f t="shared" si="25"/>
        <v>0</v>
      </c>
      <c r="K111" s="478"/>
      <c r="L111" s="487"/>
      <c r="M111" s="478">
        <f t="shared" si="33"/>
        <v>0</v>
      </c>
      <c r="N111" s="487"/>
      <c r="O111" s="478">
        <f t="shared" si="26"/>
        <v>0</v>
      </c>
      <c r="P111" s="478">
        <f t="shared" si="27"/>
        <v>0</v>
      </c>
    </row>
    <row r="112" spans="1:16" ht="12.5">
      <c r="B112" s="160" t="str">
        <f t="shared" si="24"/>
        <v/>
      </c>
      <c r="C112" s="472">
        <f>IF(D93="","-",+C111+1)</f>
        <v>2027</v>
      </c>
      <c r="D112" s="346">
        <f>IF(F111+SUM(E$99:E111)=D$92,F111,D$92-SUM(E$99:E111))</f>
        <v>1242974</v>
      </c>
      <c r="E112" s="484">
        <f t="shared" si="28"/>
        <v>42089</v>
      </c>
      <c r="F112" s="485">
        <f t="shared" si="29"/>
        <v>1200885</v>
      </c>
      <c r="G112" s="485">
        <f t="shared" si="30"/>
        <v>1221929.5</v>
      </c>
      <c r="H112" s="488">
        <f t="shared" si="31"/>
        <v>181135.77069254004</v>
      </c>
      <c r="I112" s="542">
        <f t="shared" si="32"/>
        <v>181135.77069254004</v>
      </c>
      <c r="J112" s="478">
        <f t="shared" si="25"/>
        <v>0</v>
      </c>
      <c r="K112" s="478"/>
      <c r="L112" s="487"/>
      <c r="M112" s="478">
        <f t="shared" si="33"/>
        <v>0</v>
      </c>
      <c r="N112" s="487"/>
      <c r="O112" s="478">
        <f t="shared" si="26"/>
        <v>0</v>
      </c>
      <c r="P112" s="478">
        <f t="shared" si="27"/>
        <v>0</v>
      </c>
    </row>
    <row r="113" spans="2:16" ht="12.5">
      <c r="B113" s="160" t="str">
        <f t="shared" si="24"/>
        <v/>
      </c>
      <c r="C113" s="472">
        <f>IF(D93="","-",+C112+1)</f>
        <v>2028</v>
      </c>
      <c r="D113" s="346">
        <f>IF(F112+SUM(E$99:E112)=D$92,F112,D$92-SUM(E$99:E112))</f>
        <v>1200885</v>
      </c>
      <c r="E113" s="484">
        <f t="shared" si="28"/>
        <v>42089</v>
      </c>
      <c r="F113" s="485">
        <f t="shared" si="29"/>
        <v>1158796</v>
      </c>
      <c r="G113" s="485">
        <f t="shared" si="30"/>
        <v>1179840.5</v>
      </c>
      <c r="H113" s="488">
        <f t="shared" si="31"/>
        <v>176346.34582663878</v>
      </c>
      <c r="I113" s="542">
        <f t="shared" si="32"/>
        <v>176346.34582663878</v>
      </c>
      <c r="J113" s="478">
        <f t="shared" si="25"/>
        <v>0</v>
      </c>
      <c r="K113" s="478"/>
      <c r="L113" s="487"/>
      <c r="M113" s="478">
        <f t="shared" si="33"/>
        <v>0</v>
      </c>
      <c r="N113" s="487"/>
      <c r="O113" s="478">
        <f t="shared" si="26"/>
        <v>0</v>
      </c>
      <c r="P113" s="478">
        <f t="shared" si="27"/>
        <v>0</v>
      </c>
    </row>
    <row r="114" spans="2:16" ht="12.5">
      <c r="B114" s="160" t="str">
        <f t="shared" si="24"/>
        <v/>
      </c>
      <c r="C114" s="472">
        <f>IF(D93="","-",+C113+1)</f>
        <v>2029</v>
      </c>
      <c r="D114" s="346">
        <f>IF(F113+SUM(E$99:E113)=D$92,F113,D$92-SUM(E$99:E113))</f>
        <v>1158796</v>
      </c>
      <c r="E114" s="484">
        <f t="shared" si="28"/>
        <v>42089</v>
      </c>
      <c r="F114" s="485">
        <f t="shared" si="29"/>
        <v>1116707</v>
      </c>
      <c r="G114" s="485">
        <f t="shared" si="30"/>
        <v>1137751.5</v>
      </c>
      <c r="H114" s="488">
        <f t="shared" si="31"/>
        <v>171556.92096073751</v>
      </c>
      <c r="I114" s="542">
        <f t="shared" si="32"/>
        <v>171556.92096073751</v>
      </c>
      <c r="J114" s="478">
        <f t="shared" si="25"/>
        <v>0</v>
      </c>
      <c r="K114" s="478"/>
      <c r="L114" s="487"/>
      <c r="M114" s="478">
        <f t="shared" si="33"/>
        <v>0</v>
      </c>
      <c r="N114" s="487"/>
      <c r="O114" s="478">
        <f t="shared" si="26"/>
        <v>0</v>
      </c>
      <c r="P114" s="478">
        <f t="shared" si="27"/>
        <v>0</v>
      </c>
    </row>
    <row r="115" spans="2:16" ht="12.5">
      <c r="B115" s="160" t="str">
        <f t="shared" si="24"/>
        <v/>
      </c>
      <c r="C115" s="472">
        <f>IF(D93="","-",+C114+1)</f>
        <v>2030</v>
      </c>
      <c r="D115" s="346">
        <f>IF(F114+SUM(E$99:E114)=D$92,F114,D$92-SUM(E$99:E114))</f>
        <v>1116707</v>
      </c>
      <c r="E115" s="484">
        <f t="shared" si="28"/>
        <v>42089</v>
      </c>
      <c r="F115" s="485">
        <f t="shared" si="29"/>
        <v>1074618</v>
      </c>
      <c r="G115" s="485">
        <f t="shared" si="30"/>
        <v>1095662.5</v>
      </c>
      <c r="H115" s="488">
        <f t="shared" si="31"/>
        <v>166767.49609483621</v>
      </c>
      <c r="I115" s="542">
        <f t="shared" si="32"/>
        <v>166767.49609483621</v>
      </c>
      <c r="J115" s="478">
        <f t="shared" si="25"/>
        <v>0</v>
      </c>
      <c r="K115" s="478"/>
      <c r="L115" s="487"/>
      <c r="M115" s="478">
        <f t="shared" si="33"/>
        <v>0</v>
      </c>
      <c r="N115" s="487"/>
      <c r="O115" s="478">
        <f t="shared" si="26"/>
        <v>0</v>
      </c>
      <c r="P115" s="478">
        <f t="shared" si="27"/>
        <v>0</v>
      </c>
    </row>
    <row r="116" spans="2:16" ht="12.5">
      <c r="B116" s="160" t="str">
        <f t="shared" si="24"/>
        <v/>
      </c>
      <c r="C116" s="472">
        <f>IF(D93="","-",+C115+1)</f>
        <v>2031</v>
      </c>
      <c r="D116" s="346">
        <f>IF(F115+SUM(E$99:E115)=D$92,F115,D$92-SUM(E$99:E115))</f>
        <v>1074618</v>
      </c>
      <c r="E116" s="484">
        <f t="shared" si="28"/>
        <v>42089</v>
      </c>
      <c r="F116" s="485">
        <f t="shared" si="29"/>
        <v>1032529</v>
      </c>
      <c r="G116" s="485">
        <f t="shared" si="30"/>
        <v>1053573.5</v>
      </c>
      <c r="H116" s="488">
        <f t="shared" si="31"/>
        <v>161978.07122893492</v>
      </c>
      <c r="I116" s="542">
        <f t="shared" si="32"/>
        <v>161978.07122893492</v>
      </c>
      <c r="J116" s="478">
        <f t="shared" si="25"/>
        <v>0</v>
      </c>
      <c r="K116" s="478"/>
      <c r="L116" s="487"/>
      <c r="M116" s="478">
        <f t="shared" si="33"/>
        <v>0</v>
      </c>
      <c r="N116" s="487"/>
      <c r="O116" s="478">
        <f t="shared" si="26"/>
        <v>0</v>
      </c>
      <c r="P116" s="478">
        <f t="shared" si="27"/>
        <v>0</v>
      </c>
    </row>
    <row r="117" spans="2:16" ht="12.5">
      <c r="B117" s="160" t="str">
        <f t="shared" si="24"/>
        <v/>
      </c>
      <c r="C117" s="472">
        <f>IF(D93="","-",+C116+1)</f>
        <v>2032</v>
      </c>
      <c r="D117" s="346">
        <f>IF(F116+SUM(E$99:E116)=D$92,F116,D$92-SUM(E$99:E116))</f>
        <v>1032529</v>
      </c>
      <c r="E117" s="484">
        <f t="shared" si="28"/>
        <v>42089</v>
      </c>
      <c r="F117" s="485">
        <f t="shared" si="29"/>
        <v>990440</v>
      </c>
      <c r="G117" s="485">
        <f t="shared" si="30"/>
        <v>1011484.5</v>
      </c>
      <c r="H117" s="488">
        <f t="shared" si="31"/>
        <v>157188.64636303365</v>
      </c>
      <c r="I117" s="542">
        <f t="shared" si="32"/>
        <v>157188.64636303365</v>
      </c>
      <c r="J117" s="478">
        <f t="shared" si="25"/>
        <v>0</v>
      </c>
      <c r="K117" s="478"/>
      <c r="L117" s="487"/>
      <c r="M117" s="478">
        <f t="shared" si="33"/>
        <v>0</v>
      </c>
      <c r="N117" s="487"/>
      <c r="O117" s="478">
        <f t="shared" si="26"/>
        <v>0</v>
      </c>
      <c r="P117" s="478">
        <f t="shared" si="27"/>
        <v>0</v>
      </c>
    </row>
    <row r="118" spans="2:16" ht="12.5">
      <c r="B118" s="160" t="str">
        <f t="shared" si="24"/>
        <v/>
      </c>
      <c r="C118" s="472">
        <f>IF(D93="","-",+C117+1)</f>
        <v>2033</v>
      </c>
      <c r="D118" s="346">
        <f>IF(F117+SUM(E$99:E117)=D$92,F117,D$92-SUM(E$99:E117))</f>
        <v>990440</v>
      </c>
      <c r="E118" s="484">
        <f t="shared" si="28"/>
        <v>42089</v>
      </c>
      <c r="F118" s="485">
        <f t="shared" si="29"/>
        <v>948351</v>
      </c>
      <c r="G118" s="485">
        <f t="shared" si="30"/>
        <v>969395.5</v>
      </c>
      <c r="H118" s="488">
        <f t="shared" si="31"/>
        <v>152399.22149713238</v>
      </c>
      <c r="I118" s="542">
        <f t="shared" si="32"/>
        <v>152399.22149713238</v>
      </c>
      <c r="J118" s="478">
        <f t="shared" si="25"/>
        <v>0</v>
      </c>
      <c r="K118" s="478"/>
      <c r="L118" s="487"/>
      <c r="M118" s="478">
        <f t="shared" si="33"/>
        <v>0</v>
      </c>
      <c r="N118" s="487"/>
      <c r="O118" s="478">
        <f t="shared" si="26"/>
        <v>0</v>
      </c>
      <c r="P118" s="478">
        <f t="shared" si="27"/>
        <v>0</v>
      </c>
    </row>
    <row r="119" spans="2:16" ht="12.5">
      <c r="B119" s="160" t="str">
        <f t="shared" si="24"/>
        <v/>
      </c>
      <c r="C119" s="472">
        <f>IF(D93="","-",+C118+1)</f>
        <v>2034</v>
      </c>
      <c r="D119" s="346">
        <f>IF(F118+SUM(E$99:E118)=D$92,F118,D$92-SUM(E$99:E118))</f>
        <v>948351</v>
      </c>
      <c r="E119" s="484">
        <f t="shared" si="28"/>
        <v>42089</v>
      </c>
      <c r="F119" s="485">
        <f t="shared" si="29"/>
        <v>906262</v>
      </c>
      <c r="G119" s="485">
        <f t="shared" si="30"/>
        <v>927306.5</v>
      </c>
      <c r="H119" s="488">
        <f t="shared" si="31"/>
        <v>147609.79663123109</v>
      </c>
      <c r="I119" s="542">
        <f t="shared" si="32"/>
        <v>147609.79663123109</v>
      </c>
      <c r="J119" s="478">
        <f t="shared" si="25"/>
        <v>0</v>
      </c>
      <c r="K119" s="478"/>
      <c r="L119" s="487"/>
      <c r="M119" s="478">
        <f t="shared" si="33"/>
        <v>0</v>
      </c>
      <c r="N119" s="487"/>
      <c r="O119" s="478">
        <f t="shared" si="26"/>
        <v>0</v>
      </c>
      <c r="P119" s="478">
        <f t="shared" si="27"/>
        <v>0</v>
      </c>
    </row>
    <row r="120" spans="2:16" ht="12.5">
      <c r="B120" s="160" t="str">
        <f t="shared" si="24"/>
        <v/>
      </c>
      <c r="C120" s="472">
        <f>IF(D93="","-",+C119+1)</f>
        <v>2035</v>
      </c>
      <c r="D120" s="346">
        <f>IF(F119+SUM(E$99:E119)=D$92,F119,D$92-SUM(E$99:E119))</f>
        <v>906262</v>
      </c>
      <c r="E120" s="484">
        <f t="shared" si="28"/>
        <v>42089</v>
      </c>
      <c r="F120" s="485">
        <f t="shared" si="29"/>
        <v>864173</v>
      </c>
      <c r="G120" s="485">
        <f t="shared" si="30"/>
        <v>885217.5</v>
      </c>
      <c r="H120" s="488">
        <f t="shared" si="31"/>
        <v>142820.37176532979</v>
      </c>
      <c r="I120" s="542">
        <f t="shared" si="32"/>
        <v>142820.37176532979</v>
      </c>
      <c r="J120" s="478">
        <f t="shared" si="25"/>
        <v>0</v>
      </c>
      <c r="K120" s="478"/>
      <c r="L120" s="487"/>
      <c r="M120" s="478">
        <f t="shared" si="33"/>
        <v>0</v>
      </c>
      <c r="N120" s="487"/>
      <c r="O120" s="478">
        <f t="shared" si="26"/>
        <v>0</v>
      </c>
      <c r="P120" s="478">
        <f t="shared" si="27"/>
        <v>0</v>
      </c>
    </row>
    <row r="121" spans="2:16" ht="12.5">
      <c r="B121" s="160" t="str">
        <f t="shared" si="24"/>
        <v/>
      </c>
      <c r="C121" s="472">
        <f>IF(D93="","-",+C120+1)</f>
        <v>2036</v>
      </c>
      <c r="D121" s="346">
        <f>IF(F120+SUM(E$99:E120)=D$92,F120,D$92-SUM(E$99:E120))</f>
        <v>864173</v>
      </c>
      <c r="E121" s="484">
        <f t="shared" si="28"/>
        <v>42089</v>
      </c>
      <c r="F121" s="485">
        <f t="shared" si="29"/>
        <v>822084</v>
      </c>
      <c r="G121" s="485">
        <f t="shared" si="30"/>
        <v>843128.5</v>
      </c>
      <c r="H121" s="488">
        <f t="shared" si="31"/>
        <v>138030.94689942853</v>
      </c>
      <c r="I121" s="542">
        <f t="shared" si="32"/>
        <v>138030.94689942853</v>
      </c>
      <c r="J121" s="478">
        <f t="shared" si="25"/>
        <v>0</v>
      </c>
      <c r="K121" s="478"/>
      <c r="L121" s="487"/>
      <c r="M121" s="478">
        <f t="shared" si="33"/>
        <v>0</v>
      </c>
      <c r="N121" s="487"/>
      <c r="O121" s="478">
        <f t="shared" si="26"/>
        <v>0</v>
      </c>
      <c r="P121" s="478">
        <f t="shared" si="27"/>
        <v>0</v>
      </c>
    </row>
    <row r="122" spans="2:16" ht="12.5">
      <c r="B122" s="160" t="str">
        <f t="shared" si="24"/>
        <v/>
      </c>
      <c r="C122" s="472">
        <f>IF(D93="","-",+C121+1)</f>
        <v>2037</v>
      </c>
      <c r="D122" s="346">
        <f>IF(F121+SUM(E$99:E121)=D$92,F121,D$92-SUM(E$99:E121))</f>
        <v>822084</v>
      </c>
      <c r="E122" s="484">
        <f t="shared" si="28"/>
        <v>42089</v>
      </c>
      <c r="F122" s="485">
        <f t="shared" si="29"/>
        <v>779995</v>
      </c>
      <c r="G122" s="485">
        <f t="shared" si="30"/>
        <v>801039.5</v>
      </c>
      <c r="H122" s="488">
        <f t="shared" si="31"/>
        <v>133241.52203352726</v>
      </c>
      <c r="I122" s="542">
        <f t="shared" si="32"/>
        <v>133241.52203352726</v>
      </c>
      <c r="J122" s="478">
        <f t="shared" si="25"/>
        <v>0</v>
      </c>
      <c r="K122" s="478"/>
      <c r="L122" s="487"/>
      <c r="M122" s="478">
        <f t="shared" si="33"/>
        <v>0</v>
      </c>
      <c r="N122" s="487"/>
      <c r="O122" s="478">
        <f t="shared" si="26"/>
        <v>0</v>
      </c>
      <c r="P122" s="478">
        <f t="shared" si="27"/>
        <v>0</v>
      </c>
    </row>
    <row r="123" spans="2:16" ht="12.5">
      <c r="B123" s="160" t="str">
        <f t="shared" si="24"/>
        <v/>
      </c>
      <c r="C123" s="472">
        <f>IF(D93="","-",+C122+1)</f>
        <v>2038</v>
      </c>
      <c r="D123" s="346">
        <f>IF(F122+SUM(E$99:E122)=D$92,F122,D$92-SUM(E$99:E122))</f>
        <v>779995</v>
      </c>
      <c r="E123" s="484">
        <f t="shared" si="28"/>
        <v>42089</v>
      </c>
      <c r="F123" s="485">
        <f t="shared" si="29"/>
        <v>737906</v>
      </c>
      <c r="G123" s="485">
        <f t="shared" si="30"/>
        <v>758950.5</v>
      </c>
      <c r="H123" s="488">
        <f t="shared" si="31"/>
        <v>128452.09716762597</v>
      </c>
      <c r="I123" s="542">
        <f t="shared" si="32"/>
        <v>128452.09716762597</v>
      </c>
      <c r="J123" s="478">
        <f t="shared" si="25"/>
        <v>0</v>
      </c>
      <c r="K123" s="478"/>
      <c r="L123" s="487"/>
      <c r="M123" s="478">
        <f t="shared" si="33"/>
        <v>0</v>
      </c>
      <c r="N123" s="487"/>
      <c r="O123" s="478">
        <f t="shared" si="26"/>
        <v>0</v>
      </c>
      <c r="P123" s="478">
        <f t="shared" si="27"/>
        <v>0</v>
      </c>
    </row>
    <row r="124" spans="2:16" ht="12.5">
      <c r="B124" s="160" t="str">
        <f t="shared" si="24"/>
        <v/>
      </c>
      <c r="C124" s="472">
        <f>IF(D93="","-",+C123+1)</f>
        <v>2039</v>
      </c>
      <c r="D124" s="346">
        <f>IF(F123+SUM(E$99:E123)=D$92,F123,D$92-SUM(E$99:E123))</f>
        <v>737906</v>
      </c>
      <c r="E124" s="484">
        <f t="shared" si="28"/>
        <v>42089</v>
      </c>
      <c r="F124" s="485">
        <f t="shared" si="29"/>
        <v>695817</v>
      </c>
      <c r="G124" s="485">
        <f t="shared" si="30"/>
        <v>716861.5</v>
      </c>
      <c r="H124" s="488">
        <f t="shared" si="31"/>
        <v>123662.6723017247</v>
      </c>
      <c r="I124" s="542">
        <f t="shared" si="32"/>
        <v>123662.6723017247</v>
      </c>
      <c r="J124" s="478">
        <f t="shared" si="25"/>
        <v>0</v>
      </c>
      <c r="K124" s="478"/>
      <c r="L124" s="487"/>
      <c r="M124" s="478">
        <f t="shared" si="33"/>
        <v>0</v>
      </c>
      <c r="N124" s="487"/>
      <c r="O124" s="478">
        <f t="shared" si="26"/>
        <v>0</v>
      </c>
      <c r="P124" s="478">
        <f t="shared" si="27"/>
        <v>0</v>
      </c>
    </row>
    <row r="125" spans="2:16" ht="12.5">
      <c r="B125" s="160" t="str">
        <f t="shared" si="24"/>
        <v/>
      </c>
      <c r="C125" s="472">
        <f>IF(D93="","-",+C124+1)</f>
        <v>2040</v>
      </c>
      <c r="D125" s="346">
        <f>IF(F124+SUM(E$99:E124)=D$92,F124,D$92-SUM(E$99:E124))</f>
        <v>695817</v>
      </c>
      <c r="E125" s="484">
        <f t="shared" si="28"/>
        <v>42089</v>
      </c>
      <c r="F125" s="485">
        <f t="shared" si="29"/>
        <v>653728</v>
      </c>
      <c r="G125" s="485">
        <f t="shared" si="30"/>
        <v>674772.5</v>
      </c>
      <c r="H125" s="488">
        <f t="shared" si="31"/>
        <v>118873.24743582342</v>
      </c>
      <c r="I125" s="542">
        <f t="shared" si="32"/>
        <v>118873.24743582342</v>
      </c>
      <c r="J125" s="478">
        <f t="shared" si="25"/>
        <v>0</v>
      </c>
      <c r="K125" s="478"/>
      <c r="L125" s="487"/>
      <c r="M125" s="478">
        <f t="shared" si="33"/>
        <v>0</v>
      </c>
      <c r="N125" s="487"/>
      <c r="O125" s="478">
        <f t="shared" si="26"/>
        <v>0</v>
      </c>
      <c r="P125" s="478">
        <f t="shared" si="27"/>
        <v>0</v>
      </c>
    </row>
    <row r="126" spans="2:16" ht="12.5">
      <c r="B126" s="160" t="str">
        <f t="shared" si="24"/>
        <v/>
      </c>
      <c r="C126" s="472">
        <f>IF(D93="","-",+C125+1)</f>
        <v>2041</v>
      </c>
      <c r="D126" s="346">
        <f>IF(F125+SUM(E$99:E125)=D$92,F125,D$92-SUM(E$99:E125))</f>
        <v>653728</v>
      </c>
      <c r="E126" s="484">
        <f t="shared" si="28"/>
        <v>42089</v>
      </c>
      <c r="F126" s="485">
        <f t="shared" si="29"/>
        <v>611639</v>
      </c>
      <c r="G126" s="485">
        <f t="shared" si="30"/>
        <v>632683.5</v>
      </c>
      <c r="H126" s="488">
        <f t="shared" si="31"/>
        <v>114083.82256992214</v>
      </c>
      <c r="I126" s="542">
        <f t="shared" si="32"/>
        <v>114083.82256992214</v>
      </c>
      <c r="J126" s="478">
        <f t="shared" si="25"/>
        <v>0</v>
      </c>
      <c r="K126" s="478"/>
      <c r="L126" s="487"/>
      <c r="M126" s="478">
        <f t="shared" si="33"/>
        <v>0</v>
      </c>
      <c r="N126" s="487"/>
      <c r="O126" s="478">
        <f t="shared" si="26"/>
        <v>0</v>
      </c>
      <c r="P126" s="478">
        <f t="shared" si="27"/>
        <v>0</v>
      </c>
    </row>
    <row r="127" spans="2:16" ht="12.5">
      <c r="B127" s="160" t="str">
        <f t="shared" si="24"/>
        <v/>
      </c>
      <c r="C127" s="472">
        <f>IF(D93="","-",+C126+1)</f>
        <v>2042</v>
      </c>
      <c r="D127" s="346">
        <f>IF(F126+SUM(E$99:E126)=D$92,F126,D$92-SUM(E$99:E126))</f>
        <v>611639</v>
      </c>
      <c r="E127" s="484">
        <f t="shared" si="28"/>
        <v>42089</v>
      </c>
      <c r="F127" s="485">
        <f t="shared" si="29"/>
        <v>569550</v>
      </c>
      <c r="G127" s="485">
        <f t="shared" si="30"/>
        <v>590594.5</v>
      </c>
      <c r="H127" s="488">
        <f t="shared" si="31"/>
        <v>109294.39770402086</v>
      </c>
      <c r="I127" s="542">
        <f t="shared" si="32"/>
        <v>109294.39770402086</v>
      </c>
      <c r="J127" s="478">
        <f t="shared" si="25"/>
        <v>0</v>
      </c>
      <c r="K127" s="478"/>
      <c r="L127" s="487"/>
      <c r="M127" s="478">
        <f t="shared" si="33"/>
        <v>0</v>
      </c>
      <c r="N127" s="487"/>
      <c r="O127" s="478">
        <f t="shared" si="26"/>
        <v>0</v>
      </c>
      <c r="P127" s="478">
        <f t="shared" si="27"/>
        <v>0</v>
      </c>
    </row>
    <row r="128" spans="2:16" ht="12.5">
      <c r="B128" s="160" t="str">
        <f t="shared" si="24"/>
        <v/>
      </c>
      <c r="C128" s="472">
        <f>IF(D93="","-",+C127+1)</f>
        <v>2043</v>
      </c>
      <c r="D128" s="346">
        <f>IF(F127+SUM(E$99:E127)=D$92,F127,D$92-SUM(E$99:E127))</f>
        <v>569550</v>
      </c>
      <c r="E128" s="484">
        <f t="shared" si="28"/>
        <v>42089</v>
      </c>
      <c r="F128" s="485">
        <f t="shared" si="29"/>
        <v>527461</v>
      </c>
      <c r="G128" s="485">
        <f t="shared" si="30"/>
        <v>548505.5</v>
      </c>
      <c r="H128" s="488">
        <f t="shared" si="31"/>
        <v>104504.97283811957</v>
      </c>
      <c r="I128" s="542">
        <f t="shared" si="32"/>
        <v>104504.97283811957</v>
      </c>
      <c r="J128" s="478">
        <f t="shared" si="25"/>
        <v>0</v>
      </c>
      <c r="K128" s="478"/>
      <c r="L128" s="487"/>
      <c r="M128" s="478">
        <f t="shared" si="33"/>
        <v>0</v>
      </c>
      <c r="N128" s="487"/>
      <c r="O128" s="478">
        <f t="shared" si="26"/>
        <v>0</v>
      </c>
      <c r="P128" s="478">
        <f t="shared" si="27"/>
        <v>0</v>
      </c>
    </row>
    <row r="129" spans="2:16" ht="12.5">
      <c r="B129" s="160" t="str">
        <f t="shared" si="24"/>
        <v/>
      </c>
      <c r="C129" s="472">
        <f>IF(D93="","-",+C128+1)</f>
        <v>2044</v>
      </c>
      <c r="D129" s="346">
        <f>IF(F128+SUM(E$99:E128)=D$92,F128,D$92-SUM(E$99:E128))</f>
        <v>527461</v>
      </c>
      <c r="E129" s="484">
        <f t="shared" si="28"/>
        <v>42089</v>
      </c>
      <c r="F129" s="485">
        <f t="shared" si="29"/>
        <v>485372</v>
      </c>
      <c r="G129" s="485">
        <f t="shared" si="30"/>
        <v>506416.5</v>
      </c>
      <c r="H129" s="488">
        <f t="shared" si="31"/>
        <v>99715.547972218294</v>
      </c>
      <c r="I129" s="542">
        <f t="shared" si="32"/>
        <v>99715.547972218294</v>
      </c>
      <c r="J129" s="478">
        <f t="shared" si="25"/>
        <v>0</v>
      </c>
      <c r="K129" s="478"/>
      <c r="L129" s="487"/>
      <c r="M129" s="478">
        <f t="shared" si="33"/>
        <v>0</v>
      </c>
      <c r="N129" s="487"/>
      <c r="O129" s="478">
        <f t="shared" si="26"/>
        <v>0</v>
      </c>
      <c r="P129" s="478">
        <f t="shared" si="27"/>
        <v>0</v>
      </c>
    </row>
    <row r="130" spans="2:16" ht="12.5">
      <c r="B130" s="160" t="str">
        <f t="shared" si="24"/>
        <v/>
      </c>
      <c r="C130" s="472">
        <f>IF(D93="","-",+C129+1)</f>
        <v>2045</v>
      </c>
      <c r="D130" s="346">
        <f>IF(F129+SUM(E$99:E129)=D$92,F129,D$92-SUM(E$99:E129))</f>
        <v>485372</v>
      </c>
      <c r="E130" s="484">
        <f t="shared" si="28"/>
        <v>42089</v>
      </c>
      <c r="F130" s="485">
        <f t="shared" si="29"/>
        <v>443283</v>
      </c>
      <c r="G130" s="485">
        <f t="shared" si="30"/>
        <v>464327.5</v>
      </c>
      <c r="H130" s="488">
        <f t="shared" si="31"/>
        <v>94926.123106317013</v>
      </c>
      <c r="I130" s="542">
        <f t="shared" si="32"/>
        <v>94926.123106317013</v>
      </c>
      <c r="J130" s="478">
        <f t="shared" si="25"/>
        <v>0</v>
      </c>
      <c r="K130" s="478"/>
      <c r="L130" s="487"/>
      <c r="M130" s="478">
        <f t="shared" si="33"/>
        <v>0</v>
      </c>
      <c r="N130" s="487"/>
      <c r="O130" s="478">
        <f t="shared" si="26"/>
        <v>0</v>
      </c>
      <c r="P130" s="478">
        <f t="shared" si="27"/>
        <v>0</v>
      </c>
    </row>
    <row r="131" spans="2:16" ht="12.5">
      <c r="B131" s="160" t="str">
        <f t="shared" si="24"/>
        <v/>
      </c>
      <c r="C131" s="472">
        <f>IF(D93="","-",+C130+1)</f>
        <v>2046</v>
      </c>
      <c r="D131" s="346">
        <f>IF(F130+SUM(E$99:E130)=D$92,F130,D$92-SUM(E$99:E130))</f>
        <v>443283</v>
      </c>
      <c r="E131" s="484">
        <f t="shared" si="28"/>
        <v>42089</v>
      </c>
      <c r="F131" s="485">
        <f t="shared" si="29"/>
        <v>401194</v>
      </c>
      <c r="G131" s="485">
        <f t="shared" si="30"/>
        <v>422238.5</v>
      </c>
      <c r="H131" s="488">
        <f t="shared" si="31"/>
        <v>90136.698240415732</v>
      </c>
      <c r="I131" s="542">
        <f t="shared" si="32"/>
        <v>90136.698240415732</v>
      </c>
      <c r="J131" s="478">
        <f t="shared" si="25"/>
        <v>0</v>
      </c>
      <c r="K131" s="478"/>
      <c r="L131" s="487"/>
      <c r="M131" s="478">
        <f t="shared" ref="M131:M154" si="34">IF(L541&lt;&gt;0,+H541-L541,0)</f>
        <v>0</v>
      </c>
      <c r="N131" s="487"/>
      <c r="O131" s="478">
        <f t="shared" ref="O131:O154" si="35">IF(N541&lt;&gt;0,+I541-N541,0)</f>
        <v>0</v>
      </c>
      <c r="P131" s="478">
        <f t="shared" ref="P131:P154" si="36">+O541-M541</f>
        <v>0</v>
      </c>
    </row>
    <row r="132" spans="2:16" ht="12.5">
      <c r="B132" s="160" t="str">
        <f t="shared" si="24"/>
        <v/>
      </c>
      <c r="C132" s="472">
        <f>IF(D93="","-",+C131+1)</f>
        <v>2047</v>
      </c>
      <c r="D132" s="346">
        <f>IF(F131+SUM(E$99:E131)=D$92,F131,D$92-SUM(E$99:E131))</f>
        <v>401194</v>
      </c>
      <c r="E132" s="484">
        <f t="shared" si="28"/>
        <v>42089</v>
      </c>
      <c r="F132" s="485">
        <f t="shared" si="29"/>
        <v>359105</v>
      </c>
      <c r="G132" s="485">
        <f t="shared" si="30"/>
        <v>380149.5</v>
      </c>
      <c r="H132" s="488">
        <f t="shared" si="31"/>
        <v>85347.273374514451</v>
      </c>
      <c r="I132" s="542">
        <f t="shared" si="32"/>
        <v>85347.273374514451</v>
      </c>
      <c r="J132" s="478">
        <f t="shared" si="25"/>
        <v>0</v>
      </c>
      <c r="K132" s="478"/>
      <c r="L132" s="487"/>
      <c r="M132" s="478">
        <f t="shared" si="34"/>
        <v>0</v>
      </c>
      <c r="N132" s="487"/>
      <c r="O132" s="478">
        <f t="shared" si="35"/>
        <v>0</v>
      </c>
      <c r="P132" s="478">
        <f t="shared" si="36"/>
        <v>0</v>
      </c>
    </row>
    <row r="133" spans="2:16" ht="12.5">
      <c r="B133" s="160" t="str">
        <f t="shared" si="24"/>
        <v/>
      </c>
      <c r="C133" s="472">
        <f>IF(D93="","-",+C132+1)</f>
        <v>2048</v>
      </c>
      <c r="D133" s="346">
        <f>IF(F132+SUM(E$99:E132)=D$92,F132,D$92-SUM(E$99:E132))</f>
        <v>359105</v>
      </c>
      <c r="E133" s="484">
        <f t="shared" si="28"/>
        <v>42089</v>
      </c>
      <c r="F133" s="485">
        <f t="shared" si="29"/>
        <v>317016</v>
      </c>
      <c r="G133" s="485">
        <f t="shared" si="30"/>
        <v>338060.5</v>
      </c>
      <c r="H133" s="488">
        <f t="shared" si="31"/>
        <v>80557.84850861317</v>
      </c>
      <c r="I133" s="542">
        <f t="shared" si="32"/>
        <v>80557.84850861317</v>
      </c>
      <c r="J133" s="478">
        <f t="shared" si="25"/>
        <v>0</v>
      </c>
      <c r="K133" s="478"/>
      <c r="L133" s="487"/>
      <c r="M133" s="478">
        <f t="shared" si="34"/>
        <v>0</v>
      </c>
      <c r="N133" s="487"/>
      <c r="O133" s="478">
        <f t="shared" si="35"/>
        <v>0</v>
      </c>
      <c r="P133" s="478">
        <f t="shared" si="36"/>
        <v>0</v>
      </c>
    </row>
    <row r="134" spans="2:16" ht="12.5">
      <c r="B134" s="160" t="str">
        <f t="shared" si="24"/>
        <v/>
      </c>
      <c r="C134" s="472">
        <f>IF(D93="","-",+C133+1)</f>
        <v>2049</v>
      </c>
      <c r="D134" s="346">
        <f>IF(F133+SUM(E$99:E133)=D$92,F133,D$92-SUM(E$99:E133))</f>
        <v>317016</v>
      </c>
      <c r="E134" s="484">
        <f t="shared" si="28"/>
        <v>42089</v>
      </c>
      <c r="F134" s="485">
        <f t="shared" si="29"/>
        <v>274927</v>
      </c>
      <c r="G134" s="485">
        <f t="shared" si="30"/>
        <v>295971.5</v>
      </c>
      <c r="H134" s="488">
        <f t="shared" si="31"/>
        <v>75768.423642711889</v>
      </c>
      <c r="I134" s="542">
        <f t="shared" si="32"/>
        <v>75768.423642711889</v>
      </c>
      <c r="J134" s="478">
        <f t="shared" si="25"/>
        <v>0</v>
      </c>
      <c r="K134" s="478"/>
      <c r="L134" s="487"/>
      <c r="M134" s="478">
        <f t="shared" si="34"/>
        <v>0</v>
      </c>
      <c r="N134" s="487"/>
      <c r="O134" s="478">
        <f t="shared" si="35"/>
        <v>0</v>
      </c>
      <c r="P134" s="478">
        <f t="shared" si="36"/>
        <v>0</v>
      </c>
    </row>
    <row r="135" spans="2:16" ht="12.5">
      <c r="B135" s="160" t="str">
        <f t="shared" si="24"/>
        <v/>
      </c>
      <c r="C135" s="472">
        <f>IF(D93="","-",+C134+1)</f>
        <v>2050</v>
      </c>
      <c r="D135" s="346">
        <f>IF(F134+SUM(E$99:E134)=D$92,F134,D$92-SUM(E$99:E134))</f>
        <v>274927</v>
      </c>
      <c r="E135" s="484">
        <f t="shared" si="28"/>
        <v>42089</v>
      </c>
      <c r="F135" s="485">
        <f t="shared" si="29"/>
        <v>232838</v>
      </c>
      <c r="G135" s="485">
        <f t="shared" si="30"/>
        <v>253882.5</v>
      </c>
      <c r="H135" s="488">
        <f t="shared" si="31"/>
        <v>70978.998776810608</v>
      </c>
      <c r="I135" s="542">
        <f t="shared" si="32"/>
        <v>70978.998776810608</v>
      </c>
      <c r="J135" s="478">
        <f t="shared" si="25"/>
        <v>0</v>
      </c>
      <c r="K135" s="478"/>
      <c r="L135" s="487"/>
      <c r="M135" s="478">
        <f t="shared" si="34"/>
        <v>0</v>
      </c>
      <c r="N135" s="487"/>
      <c r="O135" s="478">
        <f t="shared" si="35"/>
        <v>0</v>
      </c>
      <c r="P135" s="478">
        <f t="shared" si="36"/>
        <v>0</v>
      </c>
    </row>
    <row r="136" spans="2:16" ht="12.5">
      <c r="B136" s="160" t="str">
        <f t="shared" si="24"/>
        <v/>
      </c>
      <c r="C136" s="472">
        <f>IF(D93="","-",+C135+1)</f>
        <v>2051</v>
      </c>
      <c r="D136" s="346">
        <f>IF(F135+SUM(E$99:E135)=D$92,F135,D$92-SUM(E$99:E135))</f>
        <v>232838</v>
      </c>
      <c r="E136" s="484">
        <f t="shared" si="28"/>
        <v>42089</v>
      </c>
      <c r="F136" s="485">
        <f t="shared" si="29"/>
        <v>190749</v>
      </c>
      <c r="G136" s="485">
        <f t="shared" si="30"/>
        <v>211793.5</v>
      </c>
      <c r="H136" s="488">
        <f t="shared" si="31"/>
        <v>66189.573910909327</v>
      </c>
      <c r="I136" s="542">
        <f t="shared" si="32"/>
        <v>66189.573910909327</v>
      </c>
      <c r="J136" s="478">
        <f t="shared" si="25"/>
        <v>0</v>
      </c>
      <c r="K136" s="478"/>
      <c r="L136" s="487"/>
      <c r="M136" s="478">
        <f t="shared" si="34"/>
        <v>0</v>
      </c>
      <c r="N136" s="487"/>
      <c r="O136" s="478">
        <f t="shared" si="35"/>
        <v>0</v>
      </c>
      <c r="P136" s="478">
        <f t="shared" si="36"/>
        <v>0</v>
      </c>
    </row>
    <row r="137" spans="2:16" ht="12.5">
      <c r="B137" s="160" t="str">
        <f t="shared" si="24"/>
        <v/>
      </c>
      <c r="C137" s="472">
        <f>IF(D93="","-",+C136+1)</f>
        <v>2052</v>
      </c>
      <c r="D137" s="346">
        <f>IF(F136+SUM(E$99:E136)=D$92,F136,D$92-SUM(E$99:E136))</f>
        <v>190749</v>
      </c>
      <c r="E137" s="484">
        <f t="shared" si="28"/>
        <v>42089</v>
      </c>
      <c r="F137" s="485">
        <f t="shared" si="29"/>
        <v>148660</v>
      </c>
      <c r="G137" s="485">
        <f t="shared" si="30"/>
        <v>169704.5</v>
      </c>
      <c r="H137" s="488">
        <f t="shared" si="31"/>
        <v>61400.149045008046</v>
      </c>
      <c r="I137" s="542">
        <f t="shared" si="32"/>
        <v>61400.149045008046</v>
      </c>
      <c r="J137" s="478">
        <f t="shared" si="25"/>
        <v>0</v>
      </c>
      <c r="K137" s="478"/>
      <c r="L137" s="487"/>
      <c r="M137" s="478">
        <f t="shared" si="34"/>
        <v>0</v>
      </c>
      <c r="N137" s="487"/>
      <c r="O137" s="478">
        <f t="shared" si="35"/>
        <v>0</v>
      </c>
      <c r="P137" s="478">
        <f t="shared" si="36"/>
        <v>0</v>
      </c>
    </row>
    <row r="138" spans="2:16" ht="12.5">
      <c r="B138" s="160" t="str">
        <f t="shared" si="24"/>
        <v/>
      </c>
      <c r="C138" s="472">
        <f>IF(D93="","-",+C137+1)</f>
        <v>2053</v>
      </c>
      <c r="D138" s="346">
        <f>IF(F137+SUM(E$99:E137)=D$92,F137,D$92-SUM(E$99:E137))</f>
        <v>148660</v>
      </c>
      <c r="E138" s="484">
        <f t="shared" si="28"/>
        <v>42089</v>
      </c>
      <c r="F138" s="485">
        <f t="shared" si="29"/>
        <v>106571</v>
      </c>
      <c r="G138" s="485">
        <f t="shared" si="30"/>
        <v>127615.5</v>
      </c>
      <c r="H138" s="488">
        <f t="shared" si="31"/>
        <v>56610.724179106772</v>
      </c>
      <c r="I138" s="542">
        <f t="shared" si="32"/>
        <v>56610.724179106772</v>
      </c>
      <c r="J138" s="478">
        <f t="shared" si="25"/>
        <v>0</v>
      </c>
      <c r="K138" s="478"/>
      <c r="L138" s="487"/>
      <c r="M138" s="478">
        <f t="shared" si="34"/>
        <v>0</v>
      </c>
      <c r="N138" s="487"/>
      <c r="O138" s="478">
        <f t="shared" si="35"/>
        <v>0</v>
      </c>
      <c r="P138" s="478">
        <f t="shared" si="36"/>
        <v>0</v>
      </c>
    </row>
    <row r="139" spans="2:16" ht="12.5">
      <c r="B139" s="160" t="str">
        <f t="shared" si="24"/>
        <v/>
      </c>
      <c r="C139" s="472">
        <f>IF(D93="","-",+C138+1)</f>
        <v>2054</v>
      </c>
      <c r="D139" s="346">
        <f>IF(F138+SUM(E$99:E138)=D$92,F138,D$92-SUM(E$99:E138))</f>
        <v>106571</v>
      </c>
      <c r="E139" s="484">
        <f t="shared" si="28"/>
        <v>42089</v>
      </c>
      <c r="F139" s="485">
        <f t="shared" si="29"/>
        <v>64482</v>
      </c>
      <c r="G139" s="485">
        <f t="shared" si="30"/>
        <v>85526.5</v>
      </c>
      <c r="H139" s="488">
        <f t="shared" si="31"/>
        <v>51821.299313205491</v>
      </c>
      <c r="I139" s="542">
        <f t="shared" si="32"/>
        <v>51821.299313205491</v>
      </c>
      <c r="J139" s="478">
        <f t="shared" si="25"/>
        <v>0</v>
      </c>
      <c r="K139" s="478"/>
      <c r="L139" s="487"/>
      <c r="M139" s="478">
        <f t="shared" si="34"/>
        <v>0</v>
      </c>
      <c r="N139" s="487"/>
      <c r="O139" s="478">
        <f t="shared" si="35"/>
        <v>0</v>
      </c>
      <c r="P139" s="478">
        <f t="shared" si="36"/>
        <v>0</v>
      </c>
    </row>
    <row r="140" spans="2:16" ht="12.5">
      <c r="B140" s="160" t="str">
        <f t="shared" si="24"/>
        <v/>
      </c>
      <c r="C140" s="472">
        <f>IF(D93="","-",+C139+1)</f>
        <v>2055</v>
      </c>
      <c r="D140" s="346">
        <f>IF(F139+SUM(E$99:E139)=D$92,F139,D$92-SUM(E$99:E139))</f>
        <v>64482</v>
      </c>
      <c r="E140" s="484">
        <f t="shared" si="28"/>
        <v>42089</v>
      </c>
      <c r="F140" s="485">
        <f t="shared" si="29"/>
        <v>22393</v>
      </c>
      <c r="G140" s="485">
        <f t="shared" si="30"/>
        <v>43437.5</v>
      </c>
      <c r="H140" s="488">
        <f t="shared" si="31"/>
        <v>47031.87444730421</v>
      </c>
      <c r="I140" s="542">
        <f t="shared" si="32"/>
        <v>47031.87444730421</v>
      </c>
      <c r="J140" s="478">
        <f t="shared" si="25"/>
        <v>0</v>
      </c>
      <c r="K140" s="478"/>
      <c r="L140" s="487"/>
      <c r="M140" s="478">
        <f t="shared" si="34"/>
        <v>0</v>
      </c>
      <c r="N140" s="487"/>
      <c r="O140" s="478">
        <f t="shared" si="35"/>
        <v>0</v>
      </c>
      <c r="P140" s="478">
        <f t="shared" si="36"/>
        <v>0</v>
      </c>
    </row>
    <row r="141" spans="2:16" ht="12.5">
      <c r="B141" s="160" t="str">
        <f t="shared" si="24"/>
        <v/>
      </c>
      <c r="C141" s="472">
        <f>IF(D93="","-",+C140+1)</f>
        <v>2056</v>
      </c>
      <c r="D141" s="346">
        <f>IF(F140+SUM(E$99:E140)=D$92,F140,D$92-SUM(E$99:E140))</f>
        <v>22393</v>
      </c>
      <c r="E141" s="484">
        <f t="shared" si="28"/>
        <v>22393</v>
      </c>
      <c r="F141" s="485">
        <f t="shared" si="29"/>
        <v>0</v>
      </c>
      <c r="G141" s="485">
        <f t="shared" si="30"/>
        <v>11196.5</v>
      </c>
      <c r="H141" s="488">
        <f t="shared" si="31"/>
        <v>23667.081007176785</v>
      </c>
      <c r="I141" s="542">
        <f t="shared" si="32"/>
        <v>23667.081007176785</v>
      </c>
      <c r="J141" s="478">
        <f t="shared" si="25"/>
        <v>0</v>
      </c>
      <c r="K141" s="478"/>
      <c r="L141" s="487"/>
      <c r="M141" s="478">
        <f t="shared" si="34"/>
        <v>0</v>
      </c>
      <c r="N141" s="487"/>
      <c r="O141" s="478">
        <f t="shared" si="35"/>
        <v>0</v>
      </c>
      <c r="P141" s="478">
        <f t="shared" si="36"/>
        <v>0</v>
      </c>
    </row>
    <row r="142" spans="2:16" ht="12.5">
      <c r="B142" s="160" t="str">
        <f t="shared" si="24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28"/>
        <v>0</v>
      </c>
      <c r="F142" s="485">
        <f t="shared" si="29"/>
        <v>0</v>
      </c>
      <c r="G142" s="485">
        <f t="shared" si="30"/>
        <v>0</v>
      </c>
      <c r="H142" s="488">
        <f t="shared" si="31"/>
        <v>0</v>
      </c>
      <c r="I142" s="542">
        <f t="shared" si="32"/>
        <v>0</v>
      </c>
      <c r="J142" s="478">
        <f t="shared" si="25"/>
        <v>0</v>
      </c>
      <c r="K142" s="478"/>
      <c r="L142" s="487"/>
      <c r="M142" s="478">
        <f t="shared" si="34"/>
        <v>0</v>
      </c>
      <c r="N142" s="487"/>
      <c r="O142" s="478">
        <f t="shared" si="35"/>
        <v>0</v>
      </c>
      <c r="P142" s="478">
        <f t="shared" si="36"/>
        <v>0</v>
      </c>
    </row>
    <row r="143" spans="2:16" ht="12.5">
      <c r="B143" s="160" t="str">
        <f t="shared" si="24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8"/>
        <v>0</v>
      </c>
      <c r="F143" s="485">
        <f t="shared" si="29"/>
        <v>0</v>
      </c>
      <c r="G143" s="485">
        <f t="shared" si="30"/>
        <v>0</v>
      </c>
      <c r="H143" s="488">
        <f t="shared" si="31"/>
        <v>0</v>
      </c>
      <c r="I143" s="542">
        <f t="shared" si="32"/>
        <v>0</v>
      </c>
      <c r="J143" s="478">
        <f t="shared" si="25"/>
        <v>0</v>
      </c>
      <c r="K143" s="478"/>
      <c r="L143" s="487"/>
      <c r="M143" s="478">
        <f t="shared" si="34"/>
        <v>0</v>
      </c>
      <c r="N143" s="487"/>
      <c r="O143" s="478">
        <f t="shared" si="35"/>
        <v>0</v>
      </c>
      <c r="P143" s="478">
        <f t="shared" si="36"/>
        <v>0</v>
      </c>
    </row>
    <row r="144" spans="2:16" ht="12.5">
      <c r="B144" s="160" t="str">
        <f t="shared" si="24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8"/>
        <v>0</v>
      </c>
      <c r="F144" s="485">
        <f t="shared" si="29"/>
        <v>0</v>
      </c>
      <c r="G144" s="485">
        <f t="shared" si="30"/>
        <v>0</v>
      </c>
      <c r="H144" s="488">
        <f t="shared" si="31"/>
        <v>0</v>
      </c>
      <c r="I144" s="542">
        <f t="shared" si="32"/>
        <v>0</v>
      </c>
      <c r="J144" s="478">
        <f t="shared" si="25"/>
        <v>0</v>
      </c>
      <c r="K144" s="478"/>
      <c r="L144" s="487"/>
      <c r="M144" s="478">
        <f t="shared" si="34"/>
        <v>0</v>
      </c>
      <c r="N144" s="487"/>
      <c r="O144" s="478">
        <f t="shared" si="35"/>
        <v>0</v>
      </c>
      <c r="P144" s="478">
        <f t="shared" si="36"/>
        <v>0</v>
      </c>
    </row>
    <row r="145" spans="2:16" ht="12.5">
      <c r="B145" s="160" t="str">
        <f t="shared" si="24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8"/>
        <v>0</v>
      </c>
      <c r="F145" s="485">
        <f t="shared" si="29"/>
        <v>0</v>
      </c>
      <c r="G145" s="485">
        <f t="shared" si="30"/>
        <v>0</v>
      </c>
      <c r="H145" s="488">
        <f t="shared" si="31"/>
        <v>0</v>
      </c>
      <c r="I145" s="542">
        <f t="shared" si="32"/>
        <v>0</v>
      </c>
      <c r="J145" s="478">
        <f t="shared" si="25"/>
        <v>0</v>
      </c>
      <c r="K145" s="478"/>
      <c r="L145" s="487"/>
      <c r="M145" s="478">
        <f t="shared" si="34"/>
        <v>0</v>
      </c>
      <c r="N145" s="487"/>
      <c r="O145" s="478">
        <f t="shared" si="35"/>
        <v>0</v>
      </c>
      <c r="P145" s="478">
        <f t="shared" si="36"/>
        <v>0</v>
      </c>
    </row>
    <row r="146" spans="2:16" ht="12.5">
      <c r="B146" s="160" t="str">
        <f t="shared" si="24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8"/>
        <v>0</v>
      </c>
      <c r="F146" s="485">
        <f t="shared" si="29"/>
        <v>0</v>
      </c>
      <c r="G146" s="485">
        <f t="shared" si="30"/>
        <v>0</v>
      </c>
      <c r="H146" s="488">
        <f t="shared" si="31"/>
        <v>0</v>
      </c>
      <c r="I146" s="542">
        <f t="shared" si="32"/>
        <v>0</v>
      </c>
      <c r="J146" s="478">
        <f t="shared" si="25"/>
        <v>0</v>
      </c>
      <c r="K146" s="478"/>
      <c r="L146" s="487"/>
      <c r="M146" s="478">
        <f t="shared" si="34"/>
        <v>0</v>
      </c>
      <c r="N146" s="487"/>
      <c r="O146" s="478">
        <f t="shared" si="35"/>
        <v>0</v>
      </c>
      <c r="P146" s="478">
        <f t="shared" si="36"/>
        <v>0</v>
      </c>
    </row>
    <row r="147" spans="2:16" ht="12.5">
      <c r="B147" s="160" t="str">
        <f t="shared" si="24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8"/>
        <v>0</v>
      </c>
      <c r="F147" s="485">
        <f t="shared" si="29"/>
        <v>0</v>
      </c>
      <c r="G147" s="485">
        <f t="shared" si="30"/>
        <v>0</v>
      </c>
      <c r="H147" s="488">
        <f t="shared" si="31"/>
        <v>0</v>
      </c>
      <c r="I147" s="542">
        <f t="shared" si="32"/>
        <v>0</v>
      </c>
      <c r="J147" s="478">
        <f t="shared" si="25"/>
        <v>0</v>
      </c>
      <c r="K147" s="478"/>
      <c r="L147" s="487"/>
      <c r="M147" s="478">
        <f t="shared" si="34"/>
        <v>0</v>
      </c>
      <c r="N147" s="487"/>
      <c r="O147" s="478">
        <f t="shared" si="35"/>
        <v>0</v>
      </c>
      <c r="P147" s="478">
        <f t="shared" si="36"/>
        <v>0</v>
      </c>
    </row>
    <row r="148" spans="2:16" ht="12.5">
      <c r="B148" s="160" t="str">
        <f t="shared" si="24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8"/>
        <v>0</v>
      </c>
      <c r="F148" s="485">
        <f t="shared" si="29"/>
        <v>0</v>
      </c>
      <c r="G148" s="485">
        <f t="shared" si="30"/>
        <v>0</v>
      </c>
      <c r="H148" s="488">
        <f t="shared" si="31"/>
        <v>0</v>
      </c>
      <c r="I148" s="542">
        <f t="shared" si="32"/>
        <v>0</v>
      </c>
      <c r="J148" s="478">
        <f t="shared" si="25"/>
        <v>0</v>
      </c>
      <c r="K148" s="478"/>
      <c r="L148" s="487"/>
      <c r="M148" s="478">
        <f t="shared" si="34"/>
        <v>0</v>
      </c>
      <c r="N148" s="487"/>
      <c r="O148" s="478">
        <f t="shared" si="35"/>
        <v>0</v>
      </c>
      <c r="P148" s="478">
        <f t="shared" si="36"/>
        <v>0</v>
      </c>
    </row>
    <row r="149" spans="2:16" ht="12.5">
      <c r="B149" s="160" t="str">
        <f t="shared" si="24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8"/>
        <v>0</v>
      </c>
      <c r="F149" s="485">
        <f t="shared" si="29"/>
        <v>0</v>
      </c>
      <c r="G149" s="485">
        <f t="shared" si="30"/>
        <v>0</v>
      </c>
      <c r="H149" s="488">
        <f t="shared" si="31"/>
        <v>0</v>
      </c>
      <c r="I149" s="542">
        <f t="shared" si="32"/>
        <v>0</v>
      </c>
      <c r="J149" s="478">
        <f t="shared" si="25"/>
        <v>0</v>
      </c>
      <c r="K149" s="478"/>
      <c r="L149" s="487"/>
      <c r="M149" s="478">
        <f t="shared" si="34"/>
        <v>0</v>
      </c>
      <c r="N149" s="487"/>
      <c r="O149" s="478">
        <f t="shared" si="35"/>
        <v>0</v>
      </c>
      <c r="P149" s="478">
        <f t="shared" si="36"/>
        <v>0</v>
      </c>
    </row>
    <row r="150" spans="2:16" ht="12.5">
      <c r="B150" s="160" t="str">
        <f t="shared" si="24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8"/>
        <v>0</v>
      </c>
      <c r="F150" s="485">
        <f t="shared" si="29"/>
        <v>0</v>
      </c>
      <c r="G150" s="485">
        <f t="shared" si="30"/>
        <v>0</v>
      </c>
      <c r="H150" s="488">
        <f t="shared" si="31"/>
        <v>0</v>
      </c>
      <c r="I150" s="542">
        <f t="shared" si="32"/>
        <v>0</v>
      </c>
      <c r="J150" s="478">
        <f t="shared" si="25"/>
        <v>0</v>
      </c>
      <c r="K150" s="478"/>
      <c r="L150" s="487"/>
      <c r="M150" s="478">
        <f t="shared" si="34"/>
        <v>0</v>
      </c>
      <c r="N150" s="487"/>
      <c r="O150" s="478">
        <f t="shared" si="35"/>
        <v>0</v>
      </c>
      <c r="P150" s="478">
        <f t="shared" si="36"/>
        <v>0</v>
      </c>
    </row>
    <row r="151" spans="2:16" ht="12.5">
      <c r="B151" s="160" t="str">
        <f t="shared" si="24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8"/>
        <v>0</v>
      </c>
      <c r="F151" s="485">
        <f t="shared" si="29"/>
        <v>0</v>
      </c>
      <c r="G151" s="485">
        <f t="shared" si="30"/>
        <v>0</v>
      </c>
      <c r="H151" s="488">
        <f t="shared" si="31"/>
        <v>0</v>
      </c>
      <c r="I151" s="542">
        <f t="shared" si="32"/>
        <v>0</v>
      </c>
      <c r="J151" s="478">
        <f t="shared" si="25"/>
        <v>0</v>
      </c>
      <c r="K151" s="478"/>
      <c r="L151" s="487"/>
      <c r="M151" s="478">
        <f t="shared" si="34"/>
        <v>0</v>
      </c>
      <c r="N151" s="487"/>
      <c r="O151" s="478">
        <f t="shared" si="35"/>
        <v>0</v>
      </c>
      <c r="P151" s="478">
        <f t="shared" si="36"/>
        <v>0</v>
      </c>
    </row>
    <row r="152" spans="2:16" ht="12.5">
      <c r="B152" s="160" t="str">
        <f t="shared" si="24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8"/>
        <v>0</v>
      </c>
      <c r="F152" s="485">
        <f t="shared" si="29"/>
        <v>0</v>
      </c>
      <c r="G152" s="485">
        <f t="shared" si="30"/>
        <v>0</v>
      </c>
      <c r="H152" s="488">
        <f t="shared" si="31"/>
        <v>0</v>
      </c>
      <c r="I152" s="542">
        <f t="shared" si="32"/>
        <v>0</v>
      </c>
      <c r="J152" s="478">
        <f t="shared" si="25"/>
        <v>0</v>
      </c>
      <c r="K152" s="478"/>
      <c r="L152" s="487"/>
      <c r="M152" s="478">
        <f t="shared" si="34"/>
        <v>0</v>
      </c>
      <c r="N152" s="487"/>
      <c r="O152" s="478">
        <f t="shared" si="35"/>
        <v>0</v>
      </c>
      <c r="P152" s="478">
        <f t="shared" si="36"/>
        <v>0</v>
      </c>
    </row>
    <row r="153" spans="2:16" ht="12.5">
      <c r="B153" s="160" t="str">
        <f t="shared" si="24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8"/>
        <v>0</v>
      </c>
      <c r="F153" s="485">
        <f t="shared" si="29"/>
        <v>0</v>
      </c>
      <c r="G153" s="485">
        <f t="shared" si="30"/>
        <v>0</v>
      </c>
      <c r="H153" s="488">
        <f t="shared" si="31"/>
        <v>0</v>
      </c>
      <c r="I153" s="542">
        <f t="shared" si="32"/>
        <v>0</v>
      </c>
      <c r="J153" s="478">
        <f t="shared" si="25"/>
        <v>0</v>
      </c>
      <c r="K153" s="478"/>
      <c r="L153" s="487"/>
      <c r="M153" s="478">
        <f t="shared" si="34"/>
        <v>0</v>
      </c>
      <c r="N153" s="487"/>
      <c r="O153" s="478">
        <f t="shared" si="35"/>
        <v>0</v>
      </c>
      <c r="P153" s="478">
        <f t="shared" si="36"/>
        <v>0</v>
      </c>
    </row>
    <row r="154" spans="2:16" ht="13" thickBot="1">
      <c r="B154" s="160" t="str">
        <f t="shared" si="24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28"/>
        <v>0</v>
      </c>
      <c r="F154" s="490">
        <f t="shared" si="29"/>
        <v>0</v>
      </c>
      <c r="G154" s="490">
        <f t="shared" si="30"/>
        <v>0</v>
      </c>
      <c r="H154" s="492">
        <f t="shared" si="31"/>
        <v>0</v>
      </c>
      <c r="I154" s="545">
        <f t="shared" si="32"/>
        <v>0</v>
      </c>
      <c r="J154" s="495">
        <f t="shared" si="25"/>
        <v>0</v>
      </c>
      <c r="K154" s="478"/>
      <c r="L154" s="494"/>
      <c r="M154" s="495">
        <f t="shared" si="34"/>
        <v>0</v>
      </c>
      <c r="N154" s="494"/>
      <c r="O154" s="495">
        <f t="shared" si="35"/>
        <v>0</v>
      </c>
      <c r="P154" s="495">
        <f t="shared" si="36"/>
        <v>0</v>
      </c>
    </row>
    <row r="155" spans="2:16" ht="12.5">
      <c r="C155" s="346" t="s">
        <v>77</v>
      </c>
      <c r="D155" s="347"/>
      <c r="E155" s="347">
        <f>SUM(E99:E154)</f>
        <v>1725647</v>
      </c>
      <c r="F155" s="347"/>
      <c r="G155" s="347"/>
      <c r="H155" s="347">
        <f>SUM(H99:H154)</f>
        <v>5899884.7013681857</v>
      </c>
      <c r="I155" s="347">
        <f>SUM(I99:I154)</f>
        <v>5899884.7013681857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8"/>
  <dimension ref="A1:P162"/>
  <sheetViews>
    <sheetView view="pageBreakPreview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19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170622.90008256794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170622.90008256794</v>
      </c>
      <c r="O6" s="232"/>
      <c r="P6" s="232"/>
    </row>
    <row r="7" spans="1:16" ht="13.5" thickBot="1">
      <c r="C7" s="431" t="s">
        <v>46</v>
      </c>
      <c r="D7" s="599" t="s">
        <v>281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295</v>
      </c>
      <c r="E9" s="577" t="s">
        <v>296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1338977.9100000004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34332.766923076932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2017</v>
      </c>
      <c r="D17" s="584">
        <v>0</v>
      </c>
      <c r="E17" s="608">
        <v>21831.16304347826</v>
      </c>
      <c r="F17" s="584">
        <v>1317146.8369565217</v>
      </c>
      <c r="G17" s="608">
        <v>105641.6474528401</v>
      </c>
      <c r="H17" s="587">
        <v>105641.6474528401</v>
      </c>
      <c r="I17" s="475">
        <f t="shared" ref="I17:I72" si="0">H17-G17</f>
        <v>0</v>
      </c>
      <c r="J17" s="475"/>
      <c r="K17" s="477">
        <f t="shared" ref="K17:K22" si="1">+G17</f>
        <v>105641.6474528401</v>
      </c>
      <c r="L17" s="477">
        <f t="shared" ref="L17:L72" si="2">IF(K17&lt;&gt;0,+G17-K17,0)</f>
        <v>0</v>
      </c>
      <c r="M17" s="477">
        <f t="shared" ref="M17:M22" si="3">+H17</f>
        <v>105641.6474528401</v>
      </c>
      <c r="N17" s="477">
        <f t="shared" ref="N17:N72" si="4">IF(M17&lt;&gt;0,+H17-M17,0)</f>
        <v>0</v>
      </c>
      <c r="O17" s="478">
        <f t="shared" ref="O17:O72" si="5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1317146.8369565217</v>
      </c>
      <c r="E18" s="585">
        <v>29755.066666666666</v>
      </c>
      <c r="F18" s="584">
        <v>1287391.7702898551</v>
      </c>
      <c r="G18" s="585">
        <v>185713.45898482588</v>
      </c>
      <c r="H18" s="587">
        <v>185713.45898482588</v>
      </c>
      <c r="I18" s="475">
        <f t="shared" si="0"/>
        <v>0</v>
      </c>
      <c r="J18" s="475"/>
      <c r="K18" s="478">
        <f t="shared" si="1"/>
        <v>185713.45898482588</v>
      </c>
      <c r="L18" s="478">
        <f t="shared" si="2"/>
        <v>0</v>
      </c>
      <c r="M18" s="478">
        <f t="shared" si="3"/>
        <v>185713.45898482588</v>
      </c>
      <c r="N18" s="478">
        <f t="shared" si="4"/>
        <v>0</v>
      </c>
      <c r="O18" s="478">
        <f t="shared" si="5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2019</v>
      </c>
      <c r="D19" s="584">
        <v>1287391.7702898551</v>
      </c>
      <c r="E19" s="585">
        <v>33474.449999999997</v>
      </c>
      <c r="F19" s="584">
        <v>1253917.3202898551</v>
      </c>
      <c r="G19" s="585">
        <v>175351.45606998727</v>
      </c>
      <c r="H19" s="587">
        <v>175351.45606998727</v>
      </c>
      <c r="I19" s="475">
        <f t="shared" si="0"/>
        <v>0</v>
      </c>
      <c r="J19" s="475"/>
      <c r="K19" s="478">
        <f t="shared" si="1"/>
        <v>175351.45606998727</v>
      </c>
      <c r="L19" s="478">
        <f t="shared" ref="L19" si="6">IF(K19&lt;&gt;0,+G19-K19,0)</f>
        <v>0</v>
      </c>
      <c r="M19" s="478">
        <f t="shared" si="3"/>
        <v>175351.45606998727</v>
      </c>
      <c r="N19" s="478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ref="B20:B72" si="7">IF(D20=F19,"","IU")</f>
        <v>IU</v>
      </c>
      <c r="C20" s="472">
        <f>IF(D11="","-",+C19+1)</f>
        <v>2020</v>
      </c>
      <c r="D20" s="584">
        <v>1257636.7036231884</v>
      </c>
      <c r="E20" s="585">
        <v>31880.428571428572</v>
      </c>
      <c r="F20" s="584">
        <v>1225756.2750517598</v>
      </c>
      <c r="G20" s="585">
        <v>165989.58089219453</v>
      </c>
      <c r="H20" s="587">
        <v>165989.58089219453</v>
      </c>
      <c r="I20" s="475">
        <f t="shared" si="0"/>
        <v>0</v>
      </c>
      <c r="J20" s="475"/>
      <c r="K20" s="478">
        <f t="shared" si="1"/>
        <v>165989.58089219453</v>
      </c>
      <c r="L20" s="478">
        <f t="shared" ref="L20" si="8">IF(K20&lt;&gt;0,+G20-K20,0)</f>
        <v>0</v>
      </c>
      <c r="M20" s="478">
        <f t="shared" si="3"/>
        <v>165989.58089219453</v>
      </c>
      <c r="N20" s="478">
        <f t="shared" si="4"/>
        <v>0</v>
      </c>
      <c r="O20" s="478">
        <f t="shared" si="5"/>
        <v>0</v>
      </c>
      <c r="P20" s="242"/>
    </row>
    <row r="21" spans="2:16" ht="12.5">
      <c r="B21" s="160" t="str">
        <f t="shared" si="7"/>
        <v>IU</v>
      </c>
      <c r="C21" s="472">
        <f>IF(D11="","-",+C20+1)</f>
        <v>2021</v>
      </c>
      <c r="D21" s="584">
        <v>1222036.8917184265</v>
      </c>
      <c r="E21" s="585">
        <v>31139.023255813954</v>
      </c>
      <c r="F21" s="584">
        <v>1190897.8684626126</v>
      </c>
      <c r="G21" s="585">
        <v>161222.32913848371</v>
      </c>
      <c r="H21" s="587">
        <v>161222.32913848371</v>
      </c>
      <c r="I21" s="475">
        <f t="shared" si="0"/>
        <v>0</v>
      </c>
      <c r="J21" s="475"/>
      <c r="K21" s="478">
        <f t="shared" si="1"/>
        <v>161222.32913848371</v>
      </c>
      <c r="L21" s="478">
        <f t="shared" ref="L21" si="9">IF(K21&lt;&gt;0,+G21-K21,0)</f>
        <v>0</v>
      </c>
      <c r="M21" s="478">
        <f t="shared" si="3"/>
        <v>161222.32913848371</v>
      </c>
      <c r="N21" s="478">
        <f t="shared" si="4"/>
        <v>0</v>
      </c>
      <c r="O21" s="478">
        <f t="shared" si="5"/>
        <v>0</v>
      </c>
      <c r="P21" s="242"/>
    </row>
    <row r="22" spans="2:16" ht="12.5">
      <c r="B22" s="160" t="str">
        <f t="shared" si="7"/>
        <v/>
      </c>
      <c r="C22" s="472">
        <f>IF(D11="","-",+C21+1)</f>
        <v>2022</v>
      </c>
      <c r="D22" s="584">
        <v>1190897.8684626126</v>
      </c>
      <c r="E22" s="585">
        <v>31880.428571428572</v>
      </c>
      <c r="F22" s="584">
        <v>1159017.439891184</v>
      </c>
      <c r="G22" s="585">
        <v>158554.07703900614</v>
      </c>
      <c r="H22" s="587">
        <v>158554.07703900614</v>
      </c>
      <c r="I22" s="475">
        <f t="shared" si="0"/>
        <v>0</v>
      </c>
      <c r="J22" s="475"/>
      <c r="K22" s="478">
        <f t="shared" si="1"/>
        <v>158554.07703900614</v>
      </c>
      <c r="L22" s="478">
        <f t="shared" ref="L22" si="10">IF(K22&lt;&gt;0,+G22-K22,0)</f>
        <v>0</v>
      </c>
      <c r="M22" s="478">
        <f t="shared" si="3"/>
        <v>158554.07703900614</v>
      </c>
      <c r="N22" s="478">
        <f t="shared" si="4"/>
        <v>0</v>
      </c>
      <c r="O22" s="478">
        <f t="shared" si="5"/>
        <v>0</v>
      </c>
      <c r="P22" s="242"/>
    </row>
    <row r="23" spans="2:16" ht="12.5">
      <c r="B23" s="160" t="str">
        <f t="shared" si="7"/>
        <v>IU</v>
      </c>
      <c r="C23" s="472">
        <f>IF(D11="","-",+C22+1)</f>
        <v>2023</v>
      </c>
      <c r="D23" s="483">
        <f>IF(F22+SUM(E$17:E22)=D$10,F22,D$10-SUM(E$17:E22))</f>
        <v>1159017.3498911844</v>
      </c>
      <c r="E23" s="484">
        <f t="shared" ref="E23:E72" si="11">IF(+I$14&lt;F22,I$14,D23)</f>
        <v>34332.766923076932</v>
      </c>
      <c r="F23" s="485">
        <f t="shared" ref="F23:F72" si="12">+D23-E23</f>
        <v>1124684.5829681074</v>
      </c>
      <c r="G23" s="486">
        <f t="shared" ref="G23:G72" si="13">(D23+F23)/2*I$12+E23</f>
        <v>170622.90008256794</v>
      </c>
      <c r="H23" s="455">
        <f t="shared" ref="H23:H72" si="14">+(D23+F23)/2*I$13+E23</f>
        <v>170622.90008256794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2"/>
    </row>
    <row r="24" spans="2:16" ht="12.5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1124684.5829681074</v>
      </c>
      <c r="E24" s="484">
        <f t="shared" si="11"/>
        <v>34332.766923076932</v>
      </c>
      <c r="F24" s="485">
        <f t="shared" si="12"/>
        <v>1090351.8160450305</v>
      </c>
      <c r="G24" s="486">
        <f t="shared" si="13"/>
        <v>166524.97704948511</v>
      </c>
      <c r="H24" s="455">
        <f t="shared" si="14"/>
        <v>166524.97704948511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2"/>
    </row>
    <row r="25" spans="2:16" ht="12.5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1090351.8160450305</v>
      </c>
      <c r="E25" s="484">
        <f t="shared" si="11"/>
        <v>34332.766923076932</v>
      </c>
      <c r="F25" s="485">
        <f t="shared" si="12"/>
        <v>1056019.0491219535</v>
      </c>
      <c r="G25" s="486">
        <f t="shared" si="13"/>
        <v>162427.05401640231</v>
      </c>
      <c r="H25" s="455">
        <f t="shared" si="14"/>
        <v>162427.05401640231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2"/>
    </row>
    <row r="26" spans="2:16" ht="12.5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1056019.0491219535</v>
      </c>
      <c r="E26" s="484">
        <f t="shared" si="11"/>
        <v>34332.766923076932</v>
      </c>
      <c r="F26" s="485">
        <f t="shared" si="12"/>
        <v>1021686.2821988766</v>
      </c>
      <c r="G26" s="486">
        <f t="shared" si="13"/>
        <v>158329.13098331948</v>
      </c>
      <c r="H26" s="455">
        <f t="shared" si="14"/>
        <v>158329.13098331948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2"/>
    </row>
    <row r="27" spans="2:16" ht="12.5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1021686.2821988766</v>
      </c>
      <c r="E27" s="484">
        <f t="shared" si="11"/>
        <v>34332.766923076932</v>
      </c>
      <c r="F27" s="485">
        <f t="shared" si="12"/>
        <v>987353.51527579967</v>
      </c>
      <c r="G27" s="486">
        <f t="shared" si="13"/>
        <v>154231.20795023665</v>
      </c>
      <c r="H27" s="455">
        <f t="shared" si="14"/>
        <v>154231.20795023665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987353.51527579967</v>
      </c>
      <c r="E28" s="484">
        <f t="shared" si="11"/>
        <v>34332.766923076932</v>
      </c>
      <c r="F28" s="485">
        <f t="shared" si="12"/>
        <v>953020.74835272273</v>
      </c>
      <c r="G28" s="486">
        <f t="shared" si="13"/>
        <v>150133.28491715383</v>
      </c>
      <c r="H28" s="455">
        <f t="shared" si="14"/>
        <v>150133.28491715383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953020.74835272273</v>
      </c>
      <c r="E29" s="484">
        <f t="shared" si="11"/>
        <v>34332.766923076932</v>
      </c>
      <c r="F29" s="485">
        <f t="shared" si="12"/>
        <v>918687.98142964579</v>
      </c>
      <c r="G29" s="486">
        <f t="shared" si="13"/>
        <v>146035.36188407103</v>
      </c>
      <c r="H29" s="455">
        <f t="shared" si="14"/>
        <v>146035.36188407103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918687.98142964579</v>
      </c>
      <c r="E30" s="484">
        <f t="shared" si="11"/>
        <v>34332.766923076932</v>
      </c>
      <c r="F30" s="485">
        <f t="shared" si="12"/>
        <v>884355.21450656885</v>
      </c>
      <c r="G30" s="486">
        <f t="shared" si="13"/>
        <v>141937.4388509882</v>
      </c>
      <c r="H30" s="455">
        <f t="shared" si="14"/>
        <v>141937.4388509882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884355.21450656885</v>
      </c>
      <c r="E31" s="484">
        <f t="shared" si="11"/>
        <v>34332.766923076932</v>
      </c>
      <c r="F31" s="485">
        <f t="shared" si="12"/>
        <v>850022.44758349191</v>
      </c>
      <c r="G31" s="486">
        <f t="shared" si="13"/>
        <v>137839.51581790537</v>
      </c>
      <c r="H31" s="455">
        <f t="shared" si="14"/>
        <v>137839.51581790537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850022.44758349191</v>
      </c>
      <c r="E32" s="484">
        <f t="shared" si="11"/>
        <v>34332.766923076932</v>
      </c>
      <c r="F32" s="485">
        <f t="shared" si="12"/>
        <v>815689.68066041498</v>
      </c>
      <c r="G32" s="486">
        <f t="shared" si="13"/>
        <v>133741.59278482254</v>
      </c>
      <c r="H32" s="455">
        <f t="shared" si="14"/>
        <v>133741.59278482254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815689.68066041498</v>
      </c>
      <c r="E33" s="484">
        <f t="shared" si="11"/>
        <v>34332.766923076932</v>
      </c>
      <c r="F33" s="485">
        <f t="shared" si="12"/>
        <v>781356.91373733804</v>
      </c>
      <c r="G33" s="486">
        <f t="shared" si="13"/>
        <v>129643.66975173974</v>
      </c>
      <c r="H33" s="455">
        <f t="shared" si="14"/>
        <v>129643.66975173974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781356.91373733804</v>
      </c>
      <c r="E34" s="484">
        <f t="shared" si="11"/>
        <v>34332.766923076932</v>
      </c>
      <c r="F34" s="485">
        <f t="shared" si="12"/>
        <v>747024.1468142611</v>
      </c>
      <c r="G34" s="486">
        <f t="shared" si="13"/>
        <v>125545.74671865691</v>
      </c>
      <c r="H34" s="455">
        <f t="shared" si="14"/>
        <v>125545.74671865691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747024.1468142611</v>
      </c>
      <c r="E35" s="484">
        <f t="shared" si="11"/>
        <v>34332.766923076932</v>
      </c>
      <c r="F35" s="485">
        <f t="shared" si="12"/>
        <v>712691.37989118416</v>
      </c>
      <c r="G35" s="486">
        <f t="shared" si="13"/>
        <v>121447.82368557408</v>
      </c>
      <c r="H35" s="455">
        <f t="shared" si="14"/>
        <v>121447.82368557408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712691.37989118416</v>
      </c>
      <c r="E36" s="484">
        <f t="shared" si="11"/>
        <v>34332.766923076932</v>
      </c>
      <c r="F36" s="485">
        <f t="shared" si="12"/>
        <v>678358.61296810722</v>
      </c>
      <c r="G36" s="486">
        <f t="shared" si="13"/>
        <v>117349.90065249128</v>
      </c>
      <c r="H36" s="455">
        <f t="shared" si="14"/>
        <v>117349.90065249128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678358.61296810722</v>
      </c>
      <c r="E37" s="484">
        <f t="shared" si="11"/>
        <v>34332.766923076932</v>
      </c>
      <c r="F37" s="485">
        <f t="shared" si="12"/>
        <v>644025.84604503028</v>
      </c>
      <c r="G37" s="486">
        <f t="shared" si="13"/>
        <v>113251.97761940846</v>
      </c>
      <c r="H37" s="455">
        <f t="shared" si="14"/>
        <v>113251.97761940846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644025.84604503028</v>
      </c>
      <c r="E38" s="484">
        <f t="shared" si="11"/>
        <v>34332.766923076932</v>
      </c>
      <c r="F38" s="485">
        <f t="shared" si="12"/>
        <v>609693.07912195334</v>
      </c>
      <c r="G38" s="486">
        <f t="shared" si="13"/>
        <v>109154.05458632563</v>
      </c>
      <c r="H38" s="455">
        <f t="shared" si="14"/>
        <v>109154.05458632563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609693.07912195334</v>
      </c>
      <c r="E39" s="484">
        <f t="shared" si="11"/>
        <v>34332.766923076932</v>
      </c>
      <c r="F39" s="485">
        <f t="shared" si="12"/>
        <v>575360.3121988764</v>
      </c>
      <c r="G39" s="486">
        <f t="shared" si="13"/>
        <v>105056.1315532428</v>
      </c>
      <c r="H39" s="455">
        <f t="shared" si="14"/>
        <v>105056.1315532428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575360.3121988764</v>
      </c>
      <c r="E40" s="484">
        <f t="shared" si="11"/>
        <v>34332.766923076932</v>
      </c>
      <c r="F40" s="485">
        <f t="shared" si="12"/>
        <v>541027.54527579946</v>
      </c>
      <c r="G40" s="486">
        <f t="shared" si="13"/>
        <v>100958.20852016</v>
      </c>
      <c r="H40" s="455">
        <f t="shared" si="14"/>
        <v>100958.20852016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541027.54527579946</v>
      </c>
      <c r="E41" s="484">
        <f t="shared" si="11"/>
        <v>34332.766923076932</v>
      </c>
      <c r="F41" s="485">
        <f t="shared" si="12"/>
        <v>506694.77835272253</v>
      </c>
      <c r="G41" s="486">
        <f t="shared" si="13"/>
        <v>96860.28548707717</v>
      </c>
      <c r="H41" s="455">
        <f t="shared" si="14"/>
        <v>96860.28548707717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506694.77835272253</v>
      </c>
      <c r="E42" s="484">
        <f t="shared" si="11"/>
        <v>34332.766923076932</v>
      </c>
      <c r="F42" s="485">
        <f t="shared" si="12"/>
        <v>472362.01142964559</v>
      </c>
      <c r="G42" s="486">
        <f t="shared" si="13"/>
        <v>92762.362453994341</v>
      </c>
      <c r="H42" s="455">
        <f t="shared" si="14"/>
        <v>92762.362453994341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472362.01142964559</v>
      </c>
      <c r="E43" s="484">
        <f t="shared" si="11"/>
        <v>34332.766923076932</v>
      </c>
      <c r="F43" s="485">
        <f t="shared" si="12"/>
        <v>438029.24450656865</v>
      </c>
      <c r="G43" s="486">
        <f t="shared" si="13"/>
        <v>88664.439420911527</v>
      </c>
      <c r="H43" s="455">
        <f t="shared" si="14"/>
        <v>88664.439420911527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438029.24450656865</v>
      </c>
      <c r="E44" s="484">
        <f t="shared" si="11"/>
        <v>34332.766923076932</v>
      </c>
      <c r="F44" s="485">
        <f t="shared" si="12"/>
        <v>403696.47758349171</v>
      </c>
      <c r="G44" s="486">
        <f t="shared" si="13"/>
        <v>84566.516387828713</v>
      </c>
      <c r="H44" s="455">
        <f t="shared" si="14"/>
        <v>84566.516387828713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403696.47758349171</v>
      </c>
      <c r="E45" s="484">
        <f t="shared" si="11"/>
        <v>34332.766923076932</v>
      </c>
      <c r="F45" s="485">
        <f t="shared" si="12"/>
        <v>369363.71066041477</v>
      </c>
      <c r="G45" s="486">
        <f t="shared" si="13"/>
        <v>80468.593354745884</v>
      </c>
      <c r="H45" s="455">
        <f t="shared" si="14"/>
        <v>80468.593354745884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369363.71066041477</v>
      </c>
      <c r="E46" s="484">
        <f t="shared" si="11"/>
        <v>34332.766923076932</v>
      </c>
      <c r="F46" s="485">
        <f t="shared" si="12"/>
        <v>335030.94373733783</v>
      </c>
      <c r="G46" s="486">
        <f t="shared" si="13"/>
        <v>76370.67032166307</v>
      </c>
      <c r="H46" s="455">
        <f t="shared" si="14"/>
        <v>76370.67032166307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335030.94373733783</v>
      </c>
      <c r="E47" s="484">
        <f t="shared" si="11"/>
        <v>34332.766923076932</v>
      </c>
      <c r="F47" s="485">
        <f t="shared" si="12"/>
        <v>300698.17681426089</v>
      </c>
      <c r="G47" s="486">
        <f t="shared" si="13"/>
        <v>72272.747288580256</v>
      </c>
      <c r="H47" s="455">
        <f t="shared" si="14"/>
        <v>72272.747288580256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300698.17681426089</v>
      </c>
      <c r="E48" s="484">
        <f t="shared" si="11"/>
        <v>34332.766923076932</v>
      </c>
      <c r="F48" s="485">
        <f t="shared" si="12"/>
        <v>266365.40989118395</v>
      </c>
      <c r="G48" s="486">
        <f t="shared" si="13"/>
        <v>68174.824255497428</v>
      </c>
      <c r="H48" s="455">
        <f t="shared" si="14"/>
        <v>68174.824255497428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266365.40989118395</v>
      </c>
      <c r="E49" s="484">
        <f t="shared" si="11"/>
        <v>34332.766923076932</v>
      </c>
      <c r="F49" s="485">
        <f t="shared" si="12"/>
        <v>232032.64296810701</v>
      </c>
      <c r="G49" s="486">
        <f t="shared" si="13"/>
        <v>64076.901222414606</v>
      </c>
      <c r="H49" s="455">
        <f t="shared" si="14"/>
        <v>64076.901222414606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2"/>
    </row>
    <row r="50" spans="2:16" ht="12.5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232032.64296810701</v>
      </c>
      <c r="E50" s="484">
        <f t="shared" si="11"/>
        <v>34332.766923076932</v>
      </c>
      <c r="F50" s="485">
        <f t="shared" si="12"/>
        <v>197699.87604503008</v>
      </c>
      <c r="G50" s="486">
        <f t="shared" si="13"/>
        <v>59978.978189331785</v>
      </c>
      <c r="H50" s="455">
        <f t="shared" si="14"/>
        <v>59978.978189331785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2"/>
    </row>
    <row r="51" spans="2:16" ht="12.5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197699.87604503008</v>
      </c>
      <c r="E51" s="484">
        <f t="shared" si="11"/>
        <v>34332.766923076932</v>
      </c>
      <c r="F51" s="485">
        <f t="shared" si="12"/>
        <v>163367.10912195314</v>
      </c>
      <c r="G51" s="486">
        <f t="shared" si="13"/>
        <v>55881.055156248964</v>
      </c>
      <c r="H51" s="455">
        <f t="shared" si="14"/>
        <v>55881.055156248964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2"/>
    </row>
    <row r="52" spans="2:16" ht="12.5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163367.10912195314</v>
      </c>
      <c r="E52" s="484">
        <f t="shared" si="11"/>
        <v>34332.766923076932</v>
      </c>
      <c r="F52" s="485">
        <f t="shared" si="12"/>
        <v>129034.3421988762</v>
      </c>
      <c r="G52" s="486">
        <f t="shared" si="13"/>
        <v>51783.132123166142</v>
      </c>
      <c r="H52" s="455">
        <f t="shared" si="14"/>
        <v>51783.132123166142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2"/>
    </row>
    <row r="53" spans="2:16" ht="12.5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129034.3421988762</v>
      </c>
      <c r="E53" s="484">
        <f t="shared" si="11"/>
        <v>34332.766923076932</v>
      </c>
      <c r="F53" s="485">
        <f t="shared" si="12"/>
        <v>94701.57527579926</v>
      </c>
      <c r="G53" s="486">
        <f t="shared" si="13"/>
        <v>47685.209090083328</v>
      </c>
      <c r="H53" s="455">
        <f t="shared" si="14"/>
        <v>47685.209090083328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2"/>
    </row>
    <row r="54" spans="2:16" ht="12.5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94701.57527579926</v>
      </c>
      <c r="E54" s="484">
        <f t="shared" si="11"/>
        <v>34332.766923076932</v>
      </c>
      <c r="F54" s="485">
        <f t="shared" si="12"/>
        <v>60368.808352722328</v>
      </c>
      <c r="G54" s="486">
        <f t="shared" si="13"/>
        <v>43587.2860570005</v>
      </c>
      <c r="H54" s="455">
        <f t="shared" si="14"/>
        <v>43587.2860570005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2"/>
    </row>
    <row r="55" spans="2:16" ht="12.5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60368.808352722328</v>
      </c>
      <c r="E55" s="484">
        <f t="shared" si="11"/>
        <v>34332.766923076932</v>
      </c>
      <c r="F55" s="485">
        <f t="shared" si="12"/>
        <v>26036.041429645396</v>
      </c>
      <c r="G55" s="486">
        <f t="shared" si="13"/>
        <v>39489.363023917685</v>
      </c>
      <c r="H55" s="455">
        <f t="shared" si="14"/>
        <v>39489.363023917685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2"/>
    </row>
    <row r="56" spans="2:16" ht="12.5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26036.041429645396</v>
      </c>
      <c r="E56" s="484">
        <f t="shared" si="11"/>
        <v>26036.041429645396</v>
      </c>
      <c r="F56" s="485">
        <f t="shared" si="12"/>
        <v>0</v>
      </c>
      <c r="G56" s="486">
        <f t="shared" si="13"/>
        <v>27589.858721795066</v>
      </c>
      <c r="H56" s="455">
        <f t="shared" si="14"/>
        <v>27589.858721795066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2"/>
    </row>
    <row r="57" spans="2:16" ht="12.5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0</v>
      </c>
      <c r="E57" s="484">
        <f t="shared" si="11"/>
        <v>0</v>
      </c>
      <c r="F57" s="485">
        <f t="shared" si="12"/>
        <v>0</v>
      </c>
      <c r="G57" s="486">
        <f t="shared" si="13"/>
        <v>0</v>
      </c>
      <c r="H57" s="455">
        <f t="shared" si="14"/>
        <v>0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2"/>
    </row>
    <row r="58" spans="2:16" ht="12.5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0</v>
      </c>
      <c r="E58" s="484">
        <f t="shared" si="11"/>
        <v>0</v>
      </c>
      <c r="F58" s="485">
        <f t="shared" si="12"/>
        <v>0</v>
      </c>
      <c r="G58" s="486">
        <f t="shared" si="13"/>
        <v>0</v>
      </c>
      <c r="H58" s="455">
        <f t="shared" si="14"/>
        <v>0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2"/>
    </row>
    <row r="59" spans="2:16" ht="12.5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0</v>
      </c>
      <c r="E59" s="484">
        <f t="shared" si="11"/>
        <v>0</v>
      </c>
      <c r="F59" s="485">
        <f t="shared" si="12"/>
        <v>0</v>
      </c>
      <c r="G59" s="486">
        <f t="shared" si="13"/>
        <v>0</v>
      </c>
      <c r="H59" s="455">
        <f t="shared" si="14"/>
        <v>0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2"/>
    </row>
    <row r="60" spans="2:16" ht="12.5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0</v>
      </c>
      <c r="E60" s="484">
        <f t="shared" si="11"/>
        <v>0</v>
      </c>
      <c r="F60" s="485">
        <f t="shared" si="12"/>
        <v>0</v>
      </c>
      <c r="G60" s="486">
        <f t="shared" si="13"/>
        <v>0</v>
      </c>
      <c r="H60" s="455">
        <f t="shared" si="14"/>
        <v>0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2"/>
    </row>
    <row r="61" spans="2:16" ht="12.5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11"/>
        <v>0</v>
      </c>
      <c r="F61" s="485">
        <f t="shared" si="12"/>
        <v>0</v>
      </c>
      <c r="G61" s="486">
        <f t="shared" si="13"/>
        <v>0</v>
      </c>
      <c r="H61" s="455">
        <f t="shared" si="14"/>
        <v>0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2"/>
    </row>
    <row r="62" spans="2:16" ht="12.5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2"/>
    </row>
    <row r="63" spans="2:16" ht="12.5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2"/>
    </row>
    <row r="64" spans="2:16" ht="12.5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2"/>
    </row>
    <row r="65" spans="2:16" ht="12.5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2"/>
    </row>
    <row r="66" spans="2:16" ht="12.5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2"/>
    </row>
    <row r="67" spans="2:16" ht="12.5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2"/>
    </row>
    <row r="68" spans="2:16" ht="12.5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2"/>
    </row>
    <row r="69" spans="2:16" ht="12.5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2"/>
    </row>
    <row r="70" spans="2:16" ht="12.5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2"/>
    </row>
    <row r="71" spans="2:16" ht="12.5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2"/>
    </row>
    <row r="72" spans="2:16" ht="13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2"/>
    </row>
    <row r="73" spans="2:16" ht="12.5">
      <c r="C73" s="346" t="s">
        <v>77</v>
      </c>
      <c r="D73" s="347"/>
      <c r="E73" s="347">
        <f>SUM(E17:E72)</f>
        <v>1338977.9100000004</v>
      </c>
      <c r="F73" s="347"/>
      <c r="G73" s="347">
        <f>SUM(G17:G72)</f>
        <v>4446914.7495561447</v>
      </c>
      <c r="H73" s="347">
        <f>SUM(H17:H72)</f>
        <v>4446914.7495561447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19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161222.32913848371</v>
      </c>
      <c r="N87" s="508">
        <f>IF(J92&lt;D11,0,VLOOKUP(J92,C17:O72,11))</f>
        <v>161222.32913848371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169878.67060501632</v>
      </c>
      <c r="N88" s="512">
        <f>IF(J92&lt;D11,0,VLOOKUP(J92,C99:P154,7))</f>
        <v>169878.67060501632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Valliant-NW Texarkana 345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8656.3414665326127</v>
      </c>
      <c r="N89" s="517">
        <f>+N88-N87</f>
        <v>8656.3414665326127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TP2009089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f>IF(D11=I10,0,D10)</f>
        <v>1338977.9100000004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32658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2017</v>
      </c>
      <c r="D99" s="584">
        <v>0</v>
      </c>
      <c r="E99" s="608">
        <v>21831</v>
      </c>
      <c r="F99" s="584">
        <v>1317147</v>
      </c>
      <c r="G99" s="608">
        <v>658573.5</v>
      </c>
      <c r="H99" s="587">
        <v>105372.70906867021</v>
      </c>
      <c r="I99" s="607">
        <v>105372.70906867021</v>
      </c>
      <c r="J99" s="478">
        <f t="shared" ref="J99:J130" si="15">+I99-H99</f>
        <v>0</v>
      </c>
      <c r="K99" s="478"/>
      <c r="L99" s="477">
        <f>+H99</f>
        <v>105372.70906867021</v>
      </c>
      <c r="M99" s="477">
        <f t="shared" ref="M99:M130" si="16">IF(L99&lt;&gt;0,+H99-L99,0)</f>
        <v>0</v>
      </c>
      <c r="N99" s="477">
        <f>+I99</f>
        <v>105372.70906867021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 ht="12.5">
      <c r="B100" s="160" t="str">
        <f>IF(D100=F99,"","IU")</f>
        <v/>
      </c>
      <c r="C100" s="472">
        <f>IF(D93="","-",+C99+1)</f>
        <v>2018</v>
      </c>
      <c r="D100" s="578">
        <v>1317147</v>
      </c>
      <c r="E100" s="579">
        <v>31139</v>
      </c>
      <c r="F100" s="578">
        <v>1286008</v>
      </c>
      <c r="G100" s="579">
        <v>1301577.5</v>
      </c>
      <c r="H100" s="602">
        <v>164857.30223166285</v>
      </c>
      <c r="I100" s="578">
        <v>164857.30223166285</v>
      </c>
      <c r="J100" s="478">
        <f t="shared" si="15"/>
        <v>0</v>
      </c>
      <c r="K100" s="478"/>
      <c r="L100" s="476">
        <f>H100</f>
        <v>164857.30223166285</v>
      </c>
      <c r="M100" s="348">
        <f>IF(L100&lt;&gt;0,+H100-L100,0)</f>
        <v>0</v>
      </c>
      <c r="N100" s="476">
        <f>I100</f>
        <v>164857.30223166285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2019</v>
      </c>
      <c r="D101" s="578">
        <v>1286008</v>
      </c>
      <c r="E101" s="579">
        <v>32658</v>
      </c>
      <c r="F101" s="578">
        <v>1253350</v>
      </c>
      <c r="G101" s="579">
        <v>1269679</v>
      </c>
      <c r="H101" s="602">
        <v>163579.71352002863</v>
      </c>
      <c r="I101" s="578">
        <v>163579.71352002863</v>
      </c>
      <c r="J101" s="478">
        <f t="shared" si="15"/>
        <v>0</v>
      </c>
      <c r="K101" s="478"/>
      <c r="L101" s="476">
        <f>H101</f>
        <v>163579.71352002863</v>
      </c>
      <c r="M101" s="348">
        <f>IF(L101&lt;&gt;0,+H101-L101,0)</f>
        <v>0</v>
      </c>
      <c r="N101" s="476">
        <f>I101</f>
        <v>163579.71352002863</v>
      </c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2020</v>
      </c>
      <c r="D102" s="578">
        <v>1253350</v>
      </c>
      <c r="E102" s="579">
        <v>31139</v>
      </c>
      <c r="F102" s="578">
        <v>1222211</v>
      </c>
      <c r="G102" s="579">
        <v>1237780.5</v>
      </c>
      <c r="H102" s="602">
        <v>173851.68865310939</v>
      </c>
      <c r="I102" s="578">
        <v>173851.68865310939</v>
      </c>
      <c r="J102" s="478">
        <f t="shared" si="15"/>
        <v>0</v>
      </c>
      <c r="K102" s="478"/>
      <c r="L102" s="476">
        <f>H102</f>
        <v>173851.68865310939</v>
      </c>
      <c r="M102" s="348">
        <f>IF(L102&lt;&gt;0,+H102-L102,0)</f>
        <v>0</v>
      </c>
      <c r="N102" s="476">
        <f>I102</f>
        <v>173851.68865310939</v>
      </c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>IU</v>
      </c>
      <c r="C103" s="472">
        <f>IF(D93="","-",+C102+1)</f>
        <v>2021</v>
      </c>
      <c r="D103" s="346">
        <f>IF(F102+SUM(E$99:E102)=D$92,F102,D$92-SUM(E$99:E102))</f>
        <v>1222210.9100000004</v>
      </c>
      <c r="E103" s="484">
        <f t="shared" ref="E103:E154" si="20">IF(+J$96&lt;F102,J$96,D103)</f>
        <v>32658</v>
      </c>
      <c r="F103" s="485">
        <f t="shared" ref="F103:F154" si="21">+D103-E103</f>
        <v>1189552.9100000004</v>
      </c>
      <c r="G103" s="485">
        <f t="shared" ref="G103:G154" si="22">+(F103+D103)/2</f>
        <v>1205881.9100000004</v>
      </c>
      <c r="H103" s="613">
        <f t="shared" ref="H103:H154" si="23">+J$94*G103+E103</f>
        <v>169878.67060501632</v>
      </c>
      <c r="I103" s="614">
        <f t="shared" ref="I103:I154" si="24">+J$95*G103+E103</f>
        <v>169878.67060501632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2022</v>
      </c>
      <c r="D104" s="346">
        <f>IF(F103+SUM(E$99:E103)=D$92,F103,D$92-SUM(E$99:E103))</f>
        <v>1189552.9100000004</v>
      </c>
      <c r="E104" s="484">
        <f t="shared" si="20"/>
        <v>32658</v>
      </c>
      <c r="F104" s="485">
        <f t="shared" si="21"/>
        <v>1156894.9100000004</v>
      </c>
      <c r="G104" s="485">
        <f t="shared" si="22"/>
        <v>1173223.9100000004</v>
      </c>
      <c r="H104" s="613">
        <f t="shared" si="23"/>
        <v>166162.42557019475</v>
      </c>
      <c r="I104" s="614">
        <f t="shared" si="24"/>
        <v>166162.42557019475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2023</v>
      </c>
      <c r="D105" s="346">
        <f>IF(F104+SUM(E$99:E104)=D$92,F104,D$92-SUM(E$99:E104))</f>
        <v>1156894.9100000004</v>
      </c>
      <c r="E105" s="484">
        <f t="shared" si="20"/>
        <v>32658</v>
      </c>
      <c r="F105" s="485">
        <f t="shared" si="21"/>
        <v>1124236.9100000004</v>
      </c>
      <c r="G105" s="485">
        <f t="shared" si="22"/>
        <v>1140565.9100000004</v>
      </c>
      <c r="H105" s="613">
        <f t="shared" si="23"/>
        <v>162446.18053537322</v>
      </c>
      <c r="I105" s="614">
        <f t="shared" si="24"/>
        <v>162446.18053537322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2024</v>
      </c>
      <c r="D106" s="346">
        <f>IF(F105+SUM(E$99:E105)=D$92,F105,D$92-SUM(E$99:E105))</f>
        <v>1124236.9100000004</v>
      </c>
      <c r="E106" s="484">
        <f t="shared" si="20"/>
        <v>32658</v>
      </c>
      <c r="F106" s="485">
        <f t="shared" si="21"/>
        <v>1091578.9100000004</v>
      </c>
      <c r="G106" s="485">
        <f t="shared" si="22"/>
        <v>1107907.9100000004</v>
      </c>
      <c r="H106" s="613">
        <f t="shared" si="23"/>
        <v>158729.93550055166</v>
      </c>
      <c r="I106" s="614">
        <f t="shared" si="24"/>
        <v>158729.93550055166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2025</v>
      </c>
      <c r="D107" s="346">
        <f>IF(F106+SUM(E$99:E106)=D$92,F106,D$92-SUM(E$99:E106))</f>
        <v>1091578.9100000004</v>
      </c>
      <c r="E107" s="484">
        <f t="shared" si="20"/>
        <v>32658</v>
      </c>
      <c r="F107" s="485">
        <f t="shared" si="21"/>
        <v>1058920.9100000004</v>
      </c>
      <c r="G107" s="485">
        <f t="shared" si="22"/>
        <v>1075249.9100000004</v>
      </c>
      <c r="H107" s="613">
        <f t="shared" si="23"/>
        <v>155013.69046573015</v>
      </c>
      <c r="I107" s="614">
        <f t="shared" si="24"/>
        <v>155013.69046573015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2026</v>
      </c>
      <c r="D108" s="346">
        <f>IF(F107+SUM(E$99:E107)=D$92,F107,D$92-SUM(E$99:E107))</f>
        <v>1058920.9100000004</v>
      </c>
      <c r="E108" s="484">
        <f t="shared" si="20"/>
        <v>32658</v>
      </c>
      <c r="F108" s="485">
        <f t="shared" si="21"/>
        <v>1026262.9100000004</v>
      </c>
      <c r="G108" s="485">
        <f t="shared" si="22"/>
        <v>1042591.9100000004</v>
      </c>
      <c r="H108" s="613">
        <f t="shared" si="23"/>
        <v>151297.44543090858</v>
      </c>
      <c r="I108" s="614">
        <f t="shared" si="24"/>
        <v>151297.44543090858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2027</v>
      </c>
      <c r="D109" s="346">
        <f>IF(F108+SUM(E$99:E108)=D$92,F108,D$92-SUM(E$99:E108))</f>
        <v>1026262.9100000004</v>
      </c>
      <c r="E109" s="484">
        <f t="shared" si="20"/>
        <v>32658</v>
      </c>
      <c r="F109" s="485">
        <f t="shared" si="21"/>
        <v>993604.91000000038</v>
      </c>
      <c r="G109" s="485">
        <f t="shared" si="22"/>
        <v>1009933.9100000004</v>
      </c>
      <c r="H109" s="613">
        <f t="shared" si="23"/>
        <v>147581.20039608702</v>
      </c>
      <c r="I109" s="614">
        <f t="shared" si="24"/>
        <v>147581.20039608702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2028</v>
      </c>
      <c r="D110" s="346">
        <f>IF(F109+SUM(E$99:E109)=D$92,F109,D$92-SUM(E$99:E109))</f>
        <v>993604.91000000038</v>
      </c>
      <c r="E110" s="484">
        <f t="shared" si="20"/>
        <v>32658</v>
      </c>
      <c r="F110" s="485">
        <f t="shared" si="21"/>
        <v>960946.91000000038</v>
      </c>
      <c r="G110" s="485">
        <f t="shared" si="22"/>
        <v>977275.91000000038</v>
      </c>
      <c r="H110" s="613">
        <f t="shared" si="23"/>
        <v>143864.95536126551</v>
      </c>
      <c r="I110" s="614">
        <f t="shared" si="24"/>
        <v>143864.95536126551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2029</v>
      </c>
      <c r="D111" s="346">
        <f>IF(F110+SUM(E$99:E110)=D$92,F110,D$92-SUM(E$99:E110))</f>
        <v>960946.91000000038</v>
      </c>
      <c r="E111" s="484">
        <f t="shared" si="20"/>
        <v>32658</v>
      </c>
      <c r="F111" s="485">
        <f t="shared" si="21"/>
        <v>928288.91000000038</v>
      </c>
      <c r="G111" s="485">
        <f t="shared" si="22"/>
        <v>944617.91000000038</v>
      </c>
      <c r="H111" s="613">
        <f t="shared" si="23"/>
        <v>140148.71032644395</v>
      </c>
      <c r="I111" s="614">
        <f t="shared" si="24"/>
        <v>140148.71032644395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2030</v>
      </c>
      <c r="D112" s="346">
        <f>IF(F111+SUM(E$99:E111)=D$92,F111,D$92-SUM(E$99:E111))</f>
        <v>928288.91000000038</v>
      </c>
      <c r="E112" s="484">
        <f t="shared" si="20"/>
        <v>32658</v>
      </c>
      <c r="F112" s="485">
        <f t="shared" si="21"/>
        <v>895630.91000000038</v>
      </c>
      <c r="G112" s="485">
        <f t="shared" si="22"/>
        <v>911959.91000000038</v>
      </c>
      <c r="H112" s="613">
        <f t="shared" si="23"/>
        <v>136432.46529162239</v>
      </c>
      <c r="I112" s="614">
        <f t="shared" si="24"/>
        <v>136432.46529162239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2031</v>
      </c>
      <c r="D113" s="346">
        <f>IF(F112+SUM(E$99:E112)=D$92,F112,D$92-SUM(E$99:E112))</f>
        <v>895630.91000000038</v>
      </c>
      <c r="E113" s="484">
        <f t="shared" si="20"/>
        <v>32658</v>
      </c>
      <c r="F113" s="485">
        <f t="shared" si="21"/>
        <v>862972.91000000038</v>
      </c>
      <c r="G113" s="485">
        <f t="shared" si="22"/>
        <v>879301.91000000038</v>
      </c>
      <c r="H113" s="613">
        <f t="shared" si="23"/>
        <v>132716.22025680088</v>
      </c>
      <c r="I113" s="614">
        <f t="shared" si="24"/>
        <v>132716.22025680088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2032</v>
      </c>
      <c r="D114" s="346">
        <f>IF(F113+SUM(E$99:E113)=D$92,F113,D$92-SUM(E$99:E113))</f>
        <v>862972.91000000038</v>
      </c>
      <c r="E114" s="484">
        <f t="shared" si="20"/>
        <v>32658</v>
      </c>
      <c r="F114" s="485">
        <f t="shared" si="21"/>
        <v>830314.91000000038</v>
      </c>
      <c r="G114" s="485">
        <f t="shared" si="22"/>
        <v>846643.91000000038</v>
      </c>
      <c r="H114" s="613">
        <f t="shared" si="23"/>
        <v>128999.97522197932</v>
      </c>
      <c r="I114" s="614">
        <f t="shared" si="24"/>
        <v>128999.97522197932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2033</v>
      </c>
      <c r="D115" s="346">
        <f>IF(F114+SUM(E$99:E114)=D$92,F114,D$92-SUM(E$99:E114))</f>
        <v>830314.91000000038</v>
      </c>
      <c r="E115" s="484">
        <f t="shared" si="20"/>
        <v>32658</v>
      </c>
      <c r="F115" s="485">
        <f t="shared" si="21"/>
        <v>797656.91000000038</v>
      </c>
      <c r="G115" s="485">
        <f t="shared" si="22"/>
        <v>813985.91000000038</v>
      </c>
      <c r="H115" s="613">
        <f t="shared" si="23"/>
        <v>125283.73018715777</v>
      </c>
      <c r="I115" s="614">
        <f t="shared" si="24"/>
        <v>125283.73018715777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2034</v>
      </c>
      <c r="D116" s="346">
        <f>IF(F115+SUM(E$99:E115)=D$92,F115,D$92-SUM(E$99:E115))</f>
        <v>797656.91000000038</v>
      </c>
      <c r="E116" s="484">
        <f t="shared" si="20"/>
        <v>32658</v>
      </c>
      <c r="F116" s="485">
        <f t="shared" si="21"/>
        <v>764998.91000000038</v>
      </c>
      <c r="G116" s="485">
        <f t="shared" si="22"/>
        <v>781327.91000000038</v>
      </c>
      <c r="H116" s="613">
        <f t="shared" si="23"/>
        <v>121567.48515233623</v>
      </c>
      <c r="I116" s="614">
        <f t="shared" si="24"/>
        <v>121567.48515233623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2035</v>
      </c>
      <c r="D117" s="346">
        <f>IF(F116+SUM(E$99:E116)=D$92,F116,D$92-SUM(E$99:E116))</f>
        <v>764998.91000000038</v>
      </c>
      <c r="E117" s="484">
        <f t="shared" si="20"/>
        <v>32658</v>
      </c>
      <c r="F117" s="485">
        <f t="shared" si="21"/>
        <v>732340.91000000038</v>
      </c>
      <c r="G117" s="485">
        <f t="shared" si="22"/>
        <v>748669.91000000038</v>
      </c>
      <c r="H117" s="613">
        <f t="shared" si="23"/>
        <v>117851.24011751468</v>
      </c>
      <c r="I117" s="614">
        <f t="shared" si="24"/>
        <v>117851.24011751468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2036</v>
      </c>
      <c r="D118" s="346">
        <f>IF(F117+SUM(E$99:E117)=D$92,F117,D$92-SUM(E$99:E117))</f>
        <v>732340.91000000038</v>
      </c>
      <c r="E118" s="484">
        <f t="shared" si="20"/>
        <v>32658</v>
      </c>
      <c r="F118" s="485">
        <f t="shared" si="21"/>
        <v>699682.91000000038</v>
      </c>
      <c r="G118" s="485">
        <f t="shared" si="22"/>
        <v>716011.91000000038</v>
      </c>
      <c r="H118" s="613">
        <f t="shared" si="23"/>
        <v>114134.99508269313</v>
      </c>
      <c r="I118" s="614">
        <f t="shared" si="24"/>
        <v>114134.99508269313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2037</v>
      </c>
      <c r="D119" s="346">
        <f>IF(F118+SUM(E$99:E118)=D$92,F118,D$92-SUM(E$99:E118))</f>
        <v>699682.91000000038</v>
      </c>
      <c r="E119" s="484">
        <f t="shared" si="20"/>
        <v>32658</v>
      </c>
      <c r="F119" s="485">
        <f t="shared" si="21"/>
        <v>667024.91000000038</v>
      </c>
      <c r="G119" s="485">
        <f t="shared" si="22"/>
        <v>683353.91000000038</v>
      </c>
      <c r="H119" s="613">
        <f t="shared" si="23"/>
        <v>110418.7500478716</v>
      </c>
      <c r="I119" s="614">
        <f t="shared" si="24"/>
        <v>110418.7500478716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2038</v>
      </c>
      <c r="D120" s="346">
        <f>IF(F119+SUM(E$99:E119)=D$92,F119,D$92-SUM(E$99:E119))</f>
        <v>667024.91000000038</v>
      </c>
      <c r="E120" s="484">
        <f t="shared" si="20"/>
        <v>32658</v>
      </c>
      <c r="F120" s="485">
        <f t="shared" si="21"/>
        <v>634366.91000000038</v>
      </c>
      <c r="G120" s="485">
        <f t="shared" si="22"/>
        <v>650695.91000000038</v>
      </c>
      <c r="H120" s="613">
        <f t="shared" si="23"/>
        <v>106702.50501305005</v>
      </c>
      <c r="I120" s="614">
        <f t="shared" si="24"/>
        <v>106702.50501305005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2039</v>
      </c>
      <c r="D121" s="346">
        <f>IF(F120+SUM(E$99:E120)=D$92,F120,D$92-SUM(E$99:E120))</f>
        <v>634366.91000000038</v>
      </c>
      <c r="E121" s="484">
        <f t="shared" si="20"/>
        <v>32658</v>
      </c>
      <c r="F121" s="485">
        <f t="shared" si="21"/>
        <v>601708.91000000038</v>
      </c>
      <c r="G121" s="485">
        <f t="shared" si="22"/>
        <v>618037.91000000038</v>
      </c>
      <c r="H121" s="613">
        <f t="shared" si="23"/>
        <v>102986.2599782285</v>
      </c>
      <c r="I121" s="614">
        <f t="shared" si="24"/>
        <v>102986.2599782285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2040</v>
      </c>
      <c r="D122" s="346">
        <f>IF(F121+SUM(E$99:E121)=D$92,F121,D$92-SUM(E$99:E121))</f>
        <v>601708.91000000038</v>
      </c>
      <c r="E122" s="484">
        <f t="shared" si="20"/>
        <v>32658</v>
      </c>
      <c r="F122" s="485">
        <f t="shared" si="21"/>
        <v>569050.91000000038</v>
      </c>
      <c r="G122" s="485">
        <f t="shared" si="22"/>
        <v>585379.91000000038</v>
      </c>
      <c r="H122" s="613">
        <f t="shared" si="23"/>
        <v>99270.014943406961</v>
      </c>
      <c r="I122" s="614">
        <f t="shared" si="24"/>
        <v>99270.014943406961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2041</v>
      </c>
      <c r="D123" s="346">
        <f>IF(F122+SUM(E$99:E122)=D$92,F122,D$92-SUM(E$99:E122))</f>
        <v>569050.91000000038</v>
      </c>
      <c r="E123" s="484">
        <f t="shared" si="20"/>
        <v>32658</v>
      </c>
      <c r="F123" s="485">
        <f t="shared" si="21"/>
        <v>536392.91000000038</v>
      </c>
      <c r="G123" s="485">
        <f t="shared" si="22"/>
        <v>552721.91000000038</v>
      </c>
      <c r="H123" s="613">
        <f t="shared" si="23"/>
        <v>95553.769908585411</v>
      </c>
      <c r="I123" s="614">
        <f t="shared" si="24"/>
        <v>95553.769908585411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2042</v>
      </c>
      <c r="D124" s="346">
        <f>IF(F123+SUM(E$99:E123)=D$92,F123,D$92-SUM(E$99:E123))</f>
        <v>536392.91000000038</v>
      </c>
      <c r="E124" s="484">
        <f t="shared" si="20"/>
        <v>32658</v>
      </c>
      <c r="F124" s="485">
        <f t="shared" si="21"/>
        <v>503734.91000000038</v>
      </c>
      <c r="G124" s="485">
        <f t="shared" si="22"/>
        <v>520063.91000000038</v>
      </c>
      <c r="H124" s="613">
        <f t="shared" si="23"/>
        <v>91837.524873763861</v>
      </c>
      <c r="I124" s="614">
        <f t="shared" si="24"/>
        <v>91837.524873763861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2043</v>
      </c>
      <c r="D125" s="346">
        <f>IF(F124+SUM(E$99:E124)=D$92,F124,D$92-SUM(E$99:E124))</f>
        <v>503734.91000000038</v>
      </c>
      <c r="E125" s="484">
        <f t="shared" si="20"/>
        <v>32658</v>
      </c>
      <c r="F125" s="485">
        <f t="shared" si="21"/>
        <v>471076.91000000038</v>
      </c>
      <c r="G125" s="485">
        <f t="shared" si="22"/>
        <v>487405.91000000038</v>
      </c>
      <c r="H125" s="613">
        <f t="shared" si="23"/>
        <v>88121.279838942311</v>
      </c>
      <c r="I125" s="614">
        <f t="shared" si="24"/>
        <v>88121.279838942311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2044</v>
      </c>
      <c r="D126" s="346">
        <f>IF(F125+SUM(E$99:E125)=D$92,F125,D$92-SUM(E$99:E125))</f>
        <v>471076.91000000038</v>
      </c>
      <c r="E126" s="484">
        <f t="shared" si="20"/>
        <v>32658</v>
      </c>
      <c r="F126" s="485">
        <f t="shared" si="21"/>
        <v>438418.91000000038</v>
      </c>
      <c r="G126" s="485">
        <f t="shared" si="22"/>
        <v>454747.91000000038</v>
      </c>
      <c r="H126" s="613">
        <f t="shared" si="23"/>
        <v>84405.034804120776</v>
      </c>
      <c r="I126" s="614">
        <f t="shared" si="24"/>
        <v>84405.034804120776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2045</v>
      </c>
      <c r="D127" s="346">
        <f>IF(F126+SUM(E$99:E126)=D$92,F126,D$92-SUM(E$99:E126))</f>
        <v>438418.91000000038</v>
      </c>
      <c r="E127" s="484">
        <f t="shared" si="20"/>
        <v>32658</v>
      </c>
      <c r="F127" s="485">
        <f t="shared" si="21"/>
        <v>405760.91000000038</v>
      </c>
      <c r="G127" s="485">
        <f t="shared" si="22"/>
        <v>422089.91000000038</v>
      </c>
      <c r="H127" s="613">
        <f t="shared" si="23"/>
        <v>80688.789769299226</v>
      </c>
      <c r="I127" s="614">
        <f t="shared" si="24"/>
        <v>80688.789769299226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2046</v>
      </c>
      <c r="D128" s="346">
        <f>IF(F127+SUM(E$99:E127)=D$92,F127,D$92-SUM(E$99:E127))</f>
        <v>405760.91000000038</v>
      </c>
      <c r="E128" s="484">
        <f t="shared" si="20"/>
        <v>32658</v>
      </c>
      <c r="F128" s="485">
        <f t="shared" si="21"/>
        <v>373102.91000000038</v>
      </c>
      <c r="G128" s="485">
        <f t="shared" si="22"/>
        <v>389431.91000000038</v>
      </c>
      <c r="H128" s="613">
        <f t="shared" si="23"/>
        <v>76972.544734477677</v>
      </c>
      <c r="I128" s="614">
        <f t="shared" si="24"/>
        <v>76972.544734477677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2047</v>
      </c>
      <c r="D129" s="346">
        <f>IF(F128+SUM(E$99:E128)=D$92,F128,D$92-SUM(E$99:E128))</f>
        <v>373102.91000000038</v>
      </c>
      <c r="E129" s="484">
        <f t="shared" si="20"/>
        <v>32658</v>
      </c>
      <c r="F129" s="485">
        <f t="shared" si="21"/>
        <v>340444.91000000038</v>
      </c>
      <c r="G129" s="485">
        <f t="shared" si="22"/>
        <v>356773.91000000038</v>
      </c>
      <c r="H129" s="613">
        <f t="shared" si="23"/>
        <v>73256.299699656141</v>
      </c>
      <c r="I129" s="614">
        <f t="shared" si="24"/>
        <v>73256.299699656141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2048</v>
      </c>
      <c r="D130" s="346">
        <f>IF(F129+SUM(E$99:E129)=D$92,F129,D$92-SUM(E$99:E129))</f>
        <v>340444.91000000038</v>
      </c>
      <c r="E130" s="484">
        <f t="shared" si="20"/>
        <v>32658</v>
      </c>
      <c r="F130" s="485">
        <f t="shared" si="21"/>
        <v>307786.91000000038</v>
      </c>
      <c r="G130" s="485">
        <f t="shared" si="22"/>
        <v>324115.91000000038</v>
      </c>
      <c r="H130" s="613">
        <f t="shared" si="23"/>
        <v>69540.054664834592</v>
      </c>
      <c r="I130" s="614">
        <f t="shared" si="24"/>
        <v>69540.054664834592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2049</v>
      </c>
      <c r="D131" s="346">
        <f>IF(F130+SUM(E$99:E130)=D$92,F130,D$92-SUM(E$99:E130))</f>
        <v>307786.91000000038</v>
      </c>
      <c r="E131" s="484">
        <f t="shared" si="20"/>
        <v>32658</v>
      </c>
      <c r="F131" s="485">
        <f t="shared" si="21"/>
        <v>275128.91000000038</v>
      </c>
      <c r="G131" s="485">
        <f t="shared" si="22"/>
        <v>291457.91000000038</v>
      </c>
      <c r="H131" s="613">
        <f t="shared" si="23"/>
        <v>65823.809630013042</v>
      </c>
      <c r="I131" s="614">
        <f t="shared" si="24"/>
        <v>65823.809630013042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9"/>
        <v/>
      </c>
      <c r="C132" s="472">
        <f>IF(D93="","-",+C131+1)</f>
        <v>2050</v>
      </c>
      <c r="D132" s="346">
        <f>IF(F131+SUM(E$99:E131)=D$92,F131,D$92-SUM(E$99:E131))</f>
        <v>275128.91000000038</v>
      </c>
      <c r="E132" s="484">
        <f t="shared" si="20"/>
        <v>32658</v>
      </c>
      <c r="F132" s="485">
        <f t="shared" si="21"/>
        <v>242470.91000000038</v>
      </c>
      <c r="G132" s="485">
        <f t="shared" si="22"/>
        <v>258799.91000000038</v>
      </c>
      <c r="H132" s="613">
        <f t="shared" si="23"/>
        <v>62107.564595191507</v>
      </c>
      <c r="I132" s="614">
        <f t="shared" si="24"/>
        <v>62107.564595191507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9"/>
        <v/>
      </c>
      <c r="C133" s="472">
        <f>IF(D93="","-",+C132+1)</f>
        <v>2051</v>
      </c>
      <c r="D133" s="346">
        <f>IF(F132+SUM(E$99:E132)=D$92,F132,D$92-SUM(E$99:E132))</f>
        <v>242470.91000000038</v>
      </c>
      <c r="E133" s="484">
        <f t="shared" si="20"/>
        <v>32658</v>
      </c>
      <c r="F133" s="485">
        <f t="shared" si="21"/>
        <v>209812.91000000038</v>
      </c>
      <c r="G133" s="485">
        <f t="shared" si="22"/>
        <v>226141.91000000038</v>
      </c>
      <c r="H133" s="613">
        <f t="shared" si="23"/>
        <v>58391.319560369957</v>
      </c>
      <c r="I133" s="614">
        <f t="shared" si="24"/>
        <v>58391.319560369957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9"/>
        <v/>
      </c>
      <c r="C134" s="472">
        <f>IF(D93="","-",+C133+1)</f>
        <v>2052</v>
      </c>
      <c r="D134" s="346">
        <f>IF(F133+SUM(E$99:E133)=D$92,F133,D$92-SUM(E$99:E133))</f>
        <v>209812.91000000038</v>
      </c>
      <c r="E134" s="484">
        <f t="shared" si="20"/>
        <v>32658</v>
      </c>
      <c r="F134" s="485">
        <f t="shared" si="21"/>
        <v>177154.91000000038</v>
      </c>
      <c r="G134" s="485">
        <f t="shared" si="22"/>
        <v>193483.91000000038</v>
      </c>
      <c r="H134" s="613">
        <f t="shared" si="23"/>
        <v>54675.074525548414</v>
      </c>
      <c r="I134" s="614">
        <f t="shared" si="24"/>
        <v>54675.074525548414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9"/>
        <v/>
      </c>
      <c r="C135" s="472">
        <f>IF(D93="","-",+C134+1)</f>
        <v>2053</v>
      </c>
      <c r="D135" s="346">
        <f>IF(F134+SUM(E$99:E134)=D$92,F134,D$92-SUM(E$99:E134))</f>
        <v>177154.91000000038</v>
      </c>
      <c r="E135" s="484">
        <f t="shared" si="20"/>
        <v>32658</v>
      </c>
      <c r="F135" s="485">
        <f t="shared" si="21"/>
        <v>144496.91000000038</v>
      </c>
      <c r="G135" s="485">
        <f t="shared" si="22"/>
        <v>160825.91000000038</v>
      </c>
      <c r="H135" s="613">
        <f t="shared" si="23"/>
        <v>50958.829490726872</v>
      </c>
      <c r="I135" s="614">
        <f t="shared" si="24"/>
        <v>50958.829490726872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9"/>
        <v/>
      </c>
      <c r="C136" s="472">
        <f>IF(D93="","-",+C135+1)</f>
        <v>2054</v>
      </c>
      <c r="D136" s="346">
        <f>IF(F135+SUM(E$99:E135)=D$92,F135,D$92-SUM(E$99:E135))</f>
        <v>144496.91000000038</v>
      </c>
      <c r="E136" s="484">
        <f t="shared" si="20"/>
        <v>32658</v>
      </c>
      <c r="F136" s="485">
        <f t="shared" si="21"/>
        <v>111838.91000000038</v>
      </c>
      <c r="G136" s="485">
        <f t="shared" si="22"/>
        <v>128167.91000000038</v>
      </c>
      <c r="H136" s="613">
        <f t="shared" si="23"/>
        <v>47242.584455905322</v>
      </c>
      <c r="I136" s="614">
        <f t="shared" si="24"/>
        <v>47242.584455905322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9"/>
        <v/>
      </c>
      <c r="C137" s="472">
        <f>IF(D93="","-",+C136+1)</f>
        <v>2055</v>
      </c>
      <c r="D137" s="346">
        <f>IF(F136+SUM(E$99:E136)=D$92,F136,D$92-SUM(E$99:E136))</f>
        <v>111838.91000000038</v>
      </c>
      <c r="E137" s="484">
        <f t="shared" si="20"/>
        <v>32658</v>
      </c>
      <c r="F137" s="485">
        <f t="shared" si="21"/>
        <v>79180.910000000382</v>
      </c>
      <c r="G137" s="485">
        <f t="shared" si="22"/>
        <v>95509.910000000382</v>
      </c>
      <c r="H137" s="613">
        <f t="shared" si="23"/>
        <v>43526.33942108378</v>
      </c>
      <c r="I137" s="614">
        <f t="shared" si="24"/>
        <v>43526.33942108378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9"/>
        <v/>
      </c>
      <c r="C138" s="472">
        <f>IF(D93="","-",+C137+1)</f>
        <v>2056</v>
      </c>
      <c r="D138" s="346">
        <f>IF(F137+SUM(E$99:E137)=D$92,F137,D$92-SUM(E$99:E137))</f>
        <v>79180.910000000382</v>
      </c>
      <c r="E138" s="484">
        <f t="shared" si="20"/>
        <v>32658</v>
      </c>
      <c r="F138" s="485">
        <f t="shared" si="21"/>
        <v>46522.910000000382</v>
      </c>
      <c r="G138" s="485">
        <f t="shared" si="22"/>
        <v>62851.910000000382</v>
      </c>
      <c r="H138" s="613">
        <f t="shared" si="23"/>
        <v>39810.094386262237</v>
      </c>
      <c r="I138" s="614">
        <f t="shared" si="24"/>
        <v>39810.094386262237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9"/>
        <v/>
      </c>
      <c r="C139" s="472">
        <f>IF(D93="","-",+C138+1)</f>
        <v>2057</v>
      </c>
      <c r="D139" s="346">
        <f>IF(F138+SUM(E$99:E138)=D$92,F138,D$92-SUM(E$99:E138))</f>
        <v>46522.910000000382</v>
      </c>
      <c r="E139" s="484">
        <f t="shared" si="20"/>
        <v>32658</v>
      </c>
      <c r="F139" s="485">
        <f t="shared" si="21"/>
        <v>13864.910000000382</v>
      </c>
      <c r="G139" s="485">
        <f t="shared" si="22"/>
        <v>30193.910000000382</v>
      </c>
      <c r="H139" s="613">
        <f t="shared" si="23"/>
        <v>36093.849351440687</v>
      </c>
      <c r="I139" s="614">
        <f t="shared" si="24"/>
        <v>36093.849351440687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9"/>
        <v/>
      </c>
      <c r="C140" s="472">
        <f>IF(D93="","-",+C139+1)</f>
        <v>2058</v>
      </c>
      <c r="D140" s="346">
        <f>IF(F139+SUM(E$99:E139)=D$92,F139,D$92-SUM(E$99:E139))</f>
        <v>13864.910000000382</v>
      </c>
      <c r="E140" s="484">
        <f t="shared" si="20"/>
        <v>13864.910000000382</v>
      </c>
      <c r="F140" s="485">
        <f t="shared" si="21"/>
        <v>0</v>
      </c>
      <c r="G140" s="485">
        <f t="shared" si="22"/>
        <v>6932.4550000001909</v>
      </c>
      <c r="H140" s="613">
        <f t="shared" si="23"/>
        <v>14653.77341701534</v>
      </c>
      <c r="I140" s="614">
        <f t="shared" si="24"/>
        <v>14653.77341701534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9"/>
        <v/>
      </c>
      <c r="C141" s="472">
        <f>IF(D93="","-",+C140+1)</f>
        <v>2059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23"/>
        <v>0</v>
      </c>
      <c r="I141" s="614">
        <f t="shared" si="24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9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23"/>
        <v>0</v>
      </c>
      <c r="I142" s="614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9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23"/>
        <v>0</v>
      </c>
      <c r="I143" s="614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9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23"/>
        <v>0</v>
      </c>
      <c r="I144" s="614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9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23"/>
        <v>0</v>
      </c>
      <c r="I145" s="614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9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23"/>
        <v>0</v>
      </c>
      <c r="I146" s="614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9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23"/>
        <v>0</v>
      </c>
      <c r="I147" s="614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9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23"/>
        <v>0</v>
      </c>
      <c r="I148" s="614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9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23"/>
        <v>0</v>
      </c>
      <c r="I149" s="614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9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23"/>
        <v>0</v>
      </c>
      <c r="I150" s="614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9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23"/>
        <v>0</v>
      </c>
      <c r="I151" s="614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9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23"/>
        <v>0</v>
      </c>
      <c r="I152" s="614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9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23"/>
        <v>0</v>
      </c>
      <c r="I153" s="614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9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23"/>
        <v>0</v>
      </c>
      <c r="I154" s="616">
        <f t="shared" si="24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1338977.9100000004</v>
      </c>
      <c r="F155" s="347"/>
      <c r="G155" s="347"/>
      <c r="H155" s="347">
        <f>SUM(H99:H154)</f>
        <v>4432806.8060849411</v>
      </c>
      <c r="I155" s="347">
        <f>SUM(I99:I154)</f>
        <v>4432806.8060849411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9"/>
  <dimension ref="A1:P162"/>
  <sheetViews>
    <sheetView view="pageBreakPreview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20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260241.05207749119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260241.05207749119</v>
      </c>
      <c r="O6" s="232"/>
      <c r="P6" s="232"/>
    </row>
    <row r="7" spans="1:16" ht="13.5" thickBot="1">
      <c r="C7" s="431" t="s">
        <v>46</v>
      </c>
      <c r="D7" s="599" t="s">
        <v>282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297</v>
      </c>
      <c r="E9" s="577" t="s">
        <v>298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1961220.7100000002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50287.710512820515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v>2017</v>
      </c>
      <c r="D17" s="584">
        <v>0</v>
      </c>
      <c r="E17" s="608">
        <v>0</v>
      </c>
      <c r="F17" s="584">
        <v>483000</v>
      </c>
      <c r="G17" s="608">
        <v>30733</v>
      </c>
      <c r="H17" s="587">
        <v>30733</v>
      </c>
      <c r="I17" s="475">
        <f t="shared" ref="I17:I72" si="0">H17-G17</f>
        <v>0</v>
      </c>
      <c r="J17" s="475"/>
      <c r="K17" s="477">
        <f t="shared" ref="K17:K22" si="1">+G17</f>
        <v>30733</v>
      </c>
      <c r="L17" s="477">
        <f t="shared" ref="L17:L72" si="2">IF(K17&lt;&gt;0,+G17-K17,0)</f>
        <v>0</v>
      </c>
      <c r="M17" s="477">
        <f t="shared" ref="M17:M22" si="3">+H17</f>
        <v>30733</v>
      </c>
      <c r="N17" s="477">
        <f t="shared" ref="N17:N72" si="4">IF(M17&lt;&gt;0,+H17-M17,0)</f>
        <v>0</v>
      </c>
      <c r="O17" s="478">
        <f t="shared" ref="O17:O72" si="5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483000</v>
      </c>
      <c r="E18" s="585">
        <v>10555.555555555555</v>
      </c>
      <c r="F18" s="584">
        <v>1140000</v>
      </c>
      <c r="G18" s="585">
        <v>78818.151758984837</v>
      </c>
      <c r="H18" s="587">
        <v>78818.151758984837</v>
      </c>
      <c r="I18" s="475">
        <f t="shared" si="0"/>
        <v>0</v>
      </c>
      <c r="J18" s="475"/>
      <c r="K18" s="478">
        <f t="shared" si="1"/>
        <v>78818.151758984837</v>
      </c>
      <c r="L18" s="478">
        <f t="shared" si="2"/>
        <v>0</v>
      </c>
      <c r="M18" s="478">
        <f t="shared" si="3"/>
        <v>78818.151758984837</v>
      </c>
      <c r="N18" s="478">
        <f t="shared" si="4"/>
        <v>0</v>
      </c>
      <c r="O18" s="478">
        <f t="shared" si="5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2019</v>
      </c>
      <c r="D19" s="584">
        <v>1129444.4444444445</v>
      </c>
      <c r="E19" s="585">
        <v>28500</v>
      </c>
      <c r="F19" s="584">
        <v>1100944.4444444445</v>
      </c>
      <c r="G19" s="585">
        <v>153018.85490841107</v>
      </c>
      <c r="H19" s="587">
        <v>153018.85490841107</v>
      </c>
      <c r="I19" s="475">
        <f t="shared" si="0"/>
        <v>0</v>
      </c>
      <c r="J19" s="475"/>
      <c r="K19" s="478">
        <f t="shared" si="1"/>
        <v>153018.85490841107</v>
      </c>
      <c r="L19" s="478">
        <f t="shared" ref="L19" si="6">IF(K19&lt;&gt;0,+G19-K19,0)</f>
        <v>0</v>
      </c>
      <c r="M19" s="478">
        <f t="shared" si="3"/>
        <v>153018.85490841107</v>
      </c>
      <c r="N19" s="478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ref="B20:B72" si="7">IF(D20=F19,"","IU")</f>
        <v>IU</v>
      </c>
      <c r="C20" s="472">
        <f>IF(D11="","-",+C19+1)</f>
        <v>2020</v>
      </c>
      <c r="D20" s="584">
        <v>1883840.111111111</v>
      </c>
      <c r="E20" s="585">
        <v>45707.833333333336</v>
      </c>
      <c r="F20" s="584">
        <v>1838132.2777777778</v>
      </c>
      <c r="G20" s="585">
        <v>246703.23209680832</v>
      </c>
      <c r="H20" s="587">
        <v>246703.23209680832</v>
      </c>
      <c r="I20" s="475">
        <f t="shared" si="0"/>
        <v>0</v>
      </c>
      <c r="J20" s="475"/>
      <c r="K20" s="478">
        <f t="shared" si="1"/>
        <v>246703.23209680832</v>
      </c>
      <c r="L20" s="478">
        <f t="shared" ref="L20" si="8">IF(K20&lt;&gt;0,+G20-K20,0)</f>
        <v>0</v>
      </c>
      <c r="M20" s="478">
        <f t="shared" si="3"/>
        <v>246703.23209680832</v>
      </c>
      <c r="N20" s="478">
        <f t="shared" si="4"/>
        <v>0</v>
      </c>
      <c r="O20" s="478">
        <f t="shared" si="5"/>
        <v>0</v>
      </c>
      <c r="P20" s="242"/>
    </row>
    <row r="21" spans="2:16" ht="12.5">
      <c r="B21" s="160" t="str">
        <f t="shared" si="7"/>
        <v>IU</v>
      </c>
      <c r="C21" s="472">
        <f>IF(D11="","-",+C20+1)</f>
        <v>2021</v>
      </c>
      <c r="D21" s="584">
        <v>1876457.611111111</v>
      </c>
      <c r="E21" s="585">
        <v>45609.79069767442</v>
      </c>
      <c r="F21" s="584">
        <v>1830847.8204134365</v>
      </c>
      <c r="G21" s="585">
        <v>245473.68855677257</v>
      </c>
      <c r="H21" s="587">
        <v>245473.68855677257</v>
      </c>
      <c r="I21" s="475">
        <f t="shared" si="0"/>
        <v>0</v>
      </c>
      <c r="J21" s="475"/>
      <c r="K21" s="478">
        <f t="shared" si="1"/>
        <v>245473.68855677257</v>
      </c>
      <c r="L21" s="478">
        <f t="shared" ref="L21" si="9">IF(K21&lt;&gt;0,+G21-K21,0)</f>
        <v>0</v>
      </c>
      <c r="M21" s="478">
        <f t="shared" si="3"/>
        <v>245473.68855677257</v>
      </c>
      <c r="N21" s="478">
        <f t="shared" si="4"/>
        <v>0</v>
      </c>
      <c r="O21" s="478">
        <f t="shared" si="5"/>
        <v>0</v>
      </c>
      <c r="P21" s="242"/>
    </row>
    <row r="22" spans="2:16" ht="12.5">
      <c r="B22" s="160" t="str">
        <f t="shared" si="7"/>
        <v/>
      </c>
      <c r="C22" s="472">
        <f>IF(D11="","-",+C21+1)</f>
        <v>2022</v>
      </c>
      <c r="D22" s="584">
        <v>1830847.8204134365</v>
      </c>
      <c r="E22" s="585">
        <v>46695.738095238092</v>
      </c>
      <c r="F22" s="584">
        <v>1784152.0823181984</v>
      </c>
      <c r="G22" s="585">
        <v>241564.55964853393</v>
      </c>
      <c r="H22" s="587">
        <v>241564.55964853393</v>
      </c>
      <c r="I22" s="475">
        <f t="shared" si="0"/>
        <v>0</v>
      </c>
      <c r="J22" s="475"/>
      <c r="K22" s="478">
        <f t="shared" si="1"/>
        <v>241564.55964853393</v>
      </c>
      <c r="L22" s="478">
        <f t="shared" ref="L22" si="10">IF(K22&lt;&gt;0,+G22-K22,0)</f>
        <v>0</v>
      </c>
      <c r="M22" s="478">
        <f t="shared" si="3"/>
        <v>241564.55964853393</v>
      </c>
      <c r="N22" s="478">
        <f t="shared" si="4"/>
        <v>0</v>
      </c>
      <c r="O22" s="478">
        <f t="shared" si="5"/>
        <v>0</v>
      </c>
      <c r="P22" s="242"/>
    </row>
    <row r="23" spans="2:16" ht="12.5">
      <c r="B23" s="160" t="str">
        <f t="shared" si="7"/>
        <v>IU</v>
      </c>
      <c r="C23" s="472">
        <f>IF(D11="","-",+C22+1)</f>
        <v>2023</v>
      </c>
      <c r="D23" s="483">
        <f>IF(F22+SUM(E$17:E22)=D$10,F22,D$10-SUM(E$17:E22))</f>
        <v>1784151.7923181988</v>
      </c>
      <c r="E23" s="484">
        <f t="shared" ref="E23:E72" si="11">IF(+I$14&lt;F22,I$14,D23)</f>
        <v>50287.710512820515</v>
      </c>
      <c r="F23" s="485">
        <f t="shared" ref="F23:F72" si="12">+D23-E23</f>
        <v>1733864.0818053782</v>
      </c>
      <c r="G23" s="486">
        <f t="shared" ref="G23:G72" si="13">(D23+F23)/2*I$12+E23</f>
        <v>260241.05207749119</v>
      </c>
      <c r="H23" s="455">
        <f t="shared" ref="H23:H72" si="14">+(D23+F23)/2*I$13+E23</f>
        <v>260241.05207749119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2"/>
    </row>
    <row r="24" spans="2:16" ht="12.5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1733864.0818053782</v>
      </c>
      <c r="E24" s="484">
        <f t="shared" si="11"/>
        <v>50287.710512820515</v>
      </c>
      <c r="F24" s="485">
        <f t="shared" si="12"/>
        <v>1683576.3712925576</v>
      </c>
      <c r="G24" s="486">
        <f t="shared" si="13"/>
        <v>254238.76371974818</v>
      </c>
      <c r="H24" s="455">
        <f t="shared" si="14"/>
        <v>254238.76371974818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2"/>
    </row>
    <row r="25" spans="2:16" ht="12.5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1683576.3712925576</v>
      </c>
      <c r="E25" s="484">
        <f t="shared" si="11"/>
        <v>50287.710512820515</v>
      </c>
      <c r="F25" s="485">
        <f t="shared" si="12"/>
        <v>1633288.6607797369</v>
      </c>
      <c r="G25" s="486">
        <f t="shared" si="13"/>
        <v>248236.47536200518</v>
      </c>
      <c r="H25" s="455">
        <f t="shared" si="14"/>
        <v>248236.47536200518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2"/>
    </row>
    <row r="26" spans="2:16" ht="12.5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1633288.6607797369</v>
      </c>
      <c r="E26" s="484">
        <f t="shared" si="11"/>
        <v>50287.710512820515</v>
      </c>
      <c r="F26" s="485">
        <f t="shared" si="12"/>
        <v>1583000.9502669163</v>
      </c>
      <c r="G26" s="486">
        <f t="shared" si="13"/>
        <v>242234.18700426217</v>
      </c>
      <c r="H26" s="455">
        <f t="shared" si="14"/>
        <v>242234.18700426217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2"/>
    </row>
    <row r="27" spans="2:16" ht="12.5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1583000.9502669163</v>
      </c>
      <c r="E27" s="484">
        <f t="shared" si="11"/>
        <v>50287.710512820515</v>
      </c>
      <c r="F27" s="485">
        <f t="shared" si="12"/>
        <v>1532713.2397540957</v>
      </c>
      <c r="G27" s="486">
        <f t="shared" si="13"/>
        <v>236231.89864651917</v>
      </c>
      <c r="H27" s="455">
        <f t="shared" si="14"/>
        <v>236231.89864651917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1532713.2397540957</v>
      </c>
      <c r="E28" s="484">
        <f t="shared" si="11"/>
        <v>50287.710512820515</v>
      </c>
      <c r="F28" s="485">
        <f t="shared" si="12"/>
        <v>1482425.529241275</v>
      </c>
      <c r="G28" s="486">
        <f t="shared" si="13"/>
        <v>230229.61028877617</v>
      </c>
      <c r="H28" s="455">
        <f t="shared" si="14"/>
        <v>230229.61028877617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1482425.529241275</v>
      </c>
      <c r="E29" s="484">
        <f t="shared" si="11"/>
        <v>50287.710512820515</v>
      </c>
      <c r="F29" s="485">
        <f t="shared" si="12"/>
        <v>1432137.8187284544</v>
      </c>
      <c r="G29" s="486">
        <f t="shared" si="13"/>
        <v>224227.32193103316</v>
      </c>
      <c r="H29" s="455">
        <f t="shared" si="14"/>
        <v>224227.32193103316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1432137.8187284544</v>
      </c>
      <c r="E30" s="484">
        <f t="shared" si="11"/>
        <v>50287.710512820515</v>
      </c>
      <c r="F30" s="485">
        <f t="shared" si="12"/>
        <v>1381850.1082156338</v>
      </c>
      <c r="G30" s="486">
        <f t="shared" si="13"/>
        <v>218225.03357329016</v>
      </c>
      <c r="H30" s="455">
        <f t="shared" si="14"/>
        <v>218225.03357329016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1381850.1082156338</v>
      </c>
      <c r="E31" s="484">
        <f t="shared" si="11"/>
        <v>50287.710512820515</v>
      </c>
      <c r="F31" s="485">
        <f t="shared" si="12"/>
        <v>1331562.3977028131</v>
      </c>
      <c r="G31" s="486">
        <f t="shared" si="13"/>
        <v>212222.74521554715</v>
      </c>
      <c r="H31" s="455">
        <f t="shared" si="14"/>
        <v>212222.74521554715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1331562.3977028131</v>
      </c>
      <c r="E32" s="484">
        <f t="shared" si="11"/>
        <v>50287.710512820515</v>
      </c>
      <c r="F32" s="485">
        <f t="shared" si="12"/>
        <v>1281274.6871899925</v>
      </c>
      <c r="G32" s="486">
        <f t="shared" si="13"/>
        <v>206220.45685780415</v>
      </c>
      <c r="H32" s="455">
        <f t="shared" si="14"/>
        <v>206220.45685780415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1281274.6871899925</v>
      </c>
      <c r="E33" s="484">
        <f t="shared" si="11"/>
        <v>50287.710512820515</v>
      </c>
      <c r="F33" s="485">
        <f t="shared" si="12"/>
        <v>1230986.9766771719</v>
      </c>
      <c r="G33" s="486">
        <f t="shared" si="13"/>
        <v>200218.16850006115</v>
      </c>
      <c r="H33" s="455">
        <f t="shared" si="14"/>
        <v>200218.16850006115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1230986.9766771719</v>
      </c>
      <c r="E34" s="484">
        <f t="shared" si="11"/>
        <v>50287.710512820515</v>
      </c>
      <c r="F34" s="485">
        <f t="shared" si="12"/>
        <v>1180699.2661643513</v>
      </c>
      <c r="G34" s="486">
        <f t="shared" si="13"/>
        <v>194215.88014231814</v>
      </c>
      <c r="H34" s="455">
        <f t="shared" si="14"/>
        <v>194215.88014231814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1180699.2661643513</v>
      </c>
      <c r="E35" s="484">
        <f t="shared" si="11"/>
        <v>50287.710512820515</v>
      </c>
      <c r="F35" s="485">
        <f t="shared" si="12"/>
        <v>1130411.5556515306</v>
      </c>
      <c r="G35" s="486">
        <f t="shared" si="13"/>
        <v>188213.59178457514</v>
      </c>
      <c r="H35" s="455">
        <f t="shared" si="14"/>
        <v>188213.59178457514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1130411.5556515306</v>
      </c>
      <c r="E36" s="484">
        <f t="shared" si="11"/>
        <v>50287.710512820515</v>
      </c>
      <c r="F36" s="485">
        <f t="shared" si="12"/>
        <v>1080123.84513871</v>
      </c>
      <c r="G36" s="486">
        <f t="shared" si="13"/>
        <v>182211.30342683214</v>
      </c>
      <c r="H36" s="455">
        <f t="shared" si="14"/>
        <v>182211.30342683214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1080123.84513871</v>
      </c>
      <c r="E37" s="484">
        <f t="shared" si="11"/>
        <v>50287.710512820515</v>
      </c>
      <c r="F37" s="485">
        <f t="shared" si="12"/>
        <v>1029836.1346258895</v>
      </c>
      <c r="G37" s="486">
        <f t="shared" si="13"/>
        <v>176209.01506908913</v>
      </c>
      <c r="H37" s="455">
        <f t="shared" si="14"/>
        <v>176209.01506908913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1029836.1346258895</v>
      </c>
      <c r="E38" s="484">
        <f t="shared" si="11"/>
        <v>50287.710512820515</v>
      </c>
      <c r="F38" s="485">
        <f t="shared" si="12"/>
        <v>979548.42411306896</v>
      </c>
      <c r="G38" s="486">
        <f t="shared" si="13"/>
        <v>170206.72671134616</v>
      </c>
      <c r="H38" s="455">
        <f t="shared" si="14"/>
        <v>170206.72671134616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979548.42411306896</v>
      </c>
      <c r="E39" s="484">
        <f t="shared" si="11"/>
        <v>50287.710512820515</v>
      </c>
      <c r="F39" s="485">
        <f t="shared" si="12"/>
        <v>929260.71360024845</v>
      </c>
      <c r="G39" s="486">
        <f t="shared" si="13"/>
        <v>164204.43835360315</v>
      </c>
      <c r="H39" s="455">
        <f t="shared" si="14"/>
        <v>164204.43835360315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929260.71360024845</v>
      </c>
      <c r="E40" s="484">
        <f t="shared" si="11"/>
        <v>50287.710512820515</v>
      </c>
      <c r="F40" s="485">
        <f t="shared" si="12"/>
        <v>878973.00308742793</v>
      </c>
      <c r="G40" s="486">
        <f t="shared" si="13"/>
        <v>158202.14999586018</v>
      </c>
      <c r="H40" s="455">
        <f t="shared" si="14"/>
        <v>158202.14999586018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878973.00308742793</v>
      </c>
      <c r="E41" s="484">
        <f t="shared" si="11"/>
        <v>50287.710512820515</v>
      </c>
      <c r="F41" s="485">
        <f t="shared" si="12"/>
        <v>828685.29257460742</v>
      </c>
      <c r="G41" s="486">
        <f t="shared" si="13"/>
        <v>152199.86163811717</v>
      </c>
      <c r="H41" s="455">
        <f t="shared" si="14"/>
        <v>152199.86163811717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828685.29257460742</v>
      </c>
      <c r="E42" s="484">
        <f t="shared" si="11"/>
        <v>50287.710512820515</v>
      </c>
      <c r="F42" s="485">
        <f t="shared" si="12"/>
        <v>778397.5820617869</v>
      </c>
      <c r="G42" s="486">
        <f t="shared" si="13"/>
        <v>146197.57328037423</v>
      </c>
      <c r="H42" s="455">
        <f t="shared" si="14"/>
        <v>146197.57328037423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778397.5820617869</v>
      </c>
      <c r="E43" s="484">
        <f t="shared" si="11"/>
        <v>50287.710512820515</v>
      </c>
      <c r="F43" s="485">
        <f t="shared" si="12"/>
        <v>728109.87154896639</v>
      </c>
      <c r="G43" s="486">
        <f t="shared" si="13"/>
        <v>140195.28492263122</v>
      </c>
      <c r="H43" s="455">
        <f t="shared" si="14"/>
        <v>140195.28492263122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728109.87154896639</v>
      </c>
      <c r="E44" s="484">
        <f t="shared" si="11"/>
        <v>50287.710512820515</v>
      </c>
      <c r="F44" s="485">
        <f t="shared" si="12"/>
        <v>677822.16103614587</v>
      </c>
      <c r="G44" s="486">
        <f t="shared" si="13"/>
        <v>134192.99656488822</v>
      </c>
      <c r="H44" s="455">
        <f t="shared" si="14"/>
        <v>134192.99656488822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677822.16103614587</v>
      </c>
      <c r="E45" s="484">
        <f t="shared" si="11"/>
        <v>50287.710512820515</v>
      </c>
      <c r="F45" s="485">
        <f t="shared" si="12"/>
        <v>627534.45052332536</v>
      </c>
      <c r="G45" s="486">
        <f t="shared" si="13"/>
        <v>128190.70820714523</v>
      </c>
      <c r="H45" s="455">
        <f t="shared" si="14"/>
        <v>128190.70820714523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627534.45052332536</v>
      </c>
      <c r="E46" s="484">
        <f t="shared" si="11"/>
        <v>50287.710512820515</v>
      </c>
      <c r="F46" s="485">
        <f t="shared" si="12"/>
        <v>577246.74001050484</v>
      </c>
      <c r="G46" s="486">
        <f t="shared" si="13"/>
        <v>122188.41984940226</v>
      </c>
      <c r="H46" s="455">
        <f t="shared" si="14"/>
        <v>122188.41984940226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577246.74001050484</v>
      </c>
      <c r="E47" s="484">
        <f t="shared" si="11"/>
        <v>50287.710512820515</v>
      </c>
      <c r="F47" s="485">
        <f t="shared" si="12"/>
        <v>526959.02949768433</v>
      </c>
      <c r="G47" s="486">
        <f t="shared" si="13"/>
        <v>116186.13149165925</v>
      </c>
      <c r="H47" s="455">
        <f t="shared" si="14"/>
        <v>116186.13149165925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526959.02949768433</v>
      </c>
      <c r="E48" s="484">
        <f t="shared" si="11"/>
        <v>50287.710512820515</v>
      </c>
      <c r="F48" s="485">
        <f t="shared" si="12"/>
        <v>476671.31898486381</v>
      </c>
      <c r="G48" s="486">
        <f t="shared" si="13"/>
        <v>110183.84313391626</v>
      </c>
      <c r="H48" s="455">
        <f t="shared" si="14"/>
        <v>110183.84313391626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476671.31898486381</v>
      </c>
      <c r="E49" s="484">
        <f t="shared" si="11"/>
        <v>50287.710512820515</v>
      </c>
      <c r="F49" s="485">
        <f t="shared" si="12"/>
        <v>426383.6084720433</v>
      </c>
      <c r="G49" s="486">
        <f t="shared" si="13"/>
        <v>104181.55477617329</v>
      </c>
      <c r="H49" s="455">
        <f t="shared" si="14"/>
        <v>104181.55477617329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2"/>
    </row>
    <row r="50" spans="2:16" ht="12.5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426383.6084720433</v>
      </c>
      <c r="E50" s="484">
        <f t="shared" si="11"/>
        <v>50287.710512820515</v>
      </c>
      <c r="F50" s="485">
        <f t="shared" si="12"/>
        <v>376095.89795922278</v>
      </c>
      <c r="G50" s="486">
        <f t="shared" si="13"/>
        <v>98179.266418430285</v>
      </c>
      <c r="H50" s="455">
        <f t="shared" si="14"/>
        <v>98179.266418430285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2"/>
    </row>
    <row r="51" spans="2:16" ht="12.5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376095.89795922278</v>
      </c>
      <c r="E51" s="484">
        <f t="shared" si="11"/>
        <v>50287.710512820515</v>
      </c>
      <c r="F51" s="485">
        <f t="shared" si="12"/>
        <v>325808.18744640227</v>
      </c>
      <c r="G51" s="486">
        <f t="shared" si="13"/>
        <v>92176.97806068731</v>
      </c>
      <c r="H51" s="455">
        <f t="shared" si="14"/>
        <v>92176.97806068731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2"/>
    </row>
    <row r="52" spans="2:16" ht="12.5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325808.18744640227</v>
      </c>
      <c r="E52" s="484">
        <f t="shared" si="11"/>
        <v>50287.710512820515</v>
      </c>
      <c r="F52" s="485">
        <f t="shared" si="12"/>
        <v>275520.47693358175</v>
      </c>
      <c r="G52" s="486">
        <f t="shared" si="13"/>
        <v>86174.689702944306</v>
      </c>
      <c r="H52" s="455">
        <f t="shared" si="14"/>
        <v>86174.689702944306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2"/>
    </row>
    <row r="53" spans="2:16" ht="12.5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275520.47693358175</v>
      </c>
      <c r="E53" s="484">
        <f t="shared" si="11"/>
        <v>50287.710512820515</v>
      </c>
      <c r="F53" s="485">
        <f t="shared" si="12"/>
        <v>225232.76642076124</v>
      </c>
      <c r="G53" s="486">
        <f t="shared" si="13"/>
        <v>80172.401345201331</v>
      </c>
      <c r="H53" s="455">
        <f t="shared" si="14"/>
        <v>80172.401345201331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2"/>
    </row>
    <row r="54" spans="2:16" ht="12.5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225232.76642076124</v>
      </c>
      <c r="E54" s="484">
        <f t="shared" si="11"/>
        <v>50287.710512820515</v>
      </c>
      <c r="F54" s="485">
        <f t="shared" si="12"/>
        <v>174945.05590794072</v>
      </c>
      <c r="G54" s="486">
        <f t="shared" si="13"/>
        <v>74170.112987458328</v>
      </c>
      <c r="H54" s="455">
        <f t="shared" si="14"/>
        <v>74170.112987458328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2"/>
    </row>
    <row r="55" spans="2:16" ht="12.5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174945.05590794072</v>
      </c>
      <c r="E55" s="484">
        <f t="shared" si="11"/>
        <v>50287.710512820515</v>
      </c>
      <c r="F55" s="485">
        <f t="shared" si="12"/>
        <v>124657.34539512021</v>
      </c>
      <c r="G55" s="486">
        <f t="shared" si="13"/>
        <v>68167.824629715353</v>
      </c>
      <c r="H55" s="455">
        <f t="shared" si="14"/>
        <v>68167.824629715353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2"/>
    </row>
    <row r="56" spans="2:16" ht="12.5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124657.34539512021</v>
      </c>
      <c r="E56" s="484">
        <f t="shared" si="11"/>
        <v>50287.710512820515</v>
      </c>
      <c r="F56" s="485">
        <f t="shared" si="12"/>
        <v>74369.634882299695</v>
      </c>
      <c r="G56" s="486">
        <f t="shared" si="13"/>
        <v>62165.536271972356</v>
      </c>
      <c r="H56" s="455">
        <f t="shared" si="14"/>
        <v>62165.536271972356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2"/>
    </row>
    <row r="57" spans="2:16" ht="12.5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74369.634882299695</v>
      </c>
      <c r="E57" s="484">
        <f t="shared" si="11"/>
        <v>50287.710512820515</v>
      </c>
      <c r="F57" s="485">
        <f t="shared" si="12"/>
        <v>24081.92436947918</v>
      </c>
      <c r="G57" s="486">
        <f t="shared" si="13"/>
        <v>56163.247914229367</v>
      </c>
      <c r="H57" s="455">
        <f t="shared" si="14"/>
        <v>56163.247914229367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2"/>
    </row>
    <row r="58" spans="2:16" ht="12.5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24081.92436947918</v>
      </c>
      <c r="E58" s="484">
        <f t="shared" si="11"/>
        <v>24081.92436947918</v>
      </c>
      <c r="F58" s="485">
        <f t="shared" si="12"/>
        <v>0</v>
      </c>
      <c r="G58" s="486">
        <f t="shared" si="13"/>
        <v>25519.120980747859</v>
      </c>
      <c r="H58" s="455">
        <f t="shared" si="14"/>
        <v>25519.120980747859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2"/>
    </row>
    <row r="59" spans="2:16" ht="12.5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0</v>
      </c>
      <c r="E59" s="484">
        <f t="shared" si="11"/>
        <v>0</v>
      </c>
      <c r="F59" s="485">
        <f t="shared" si="12"/>
        <v>0</v>
      </c>
      <c r="G59" s="486">
        <f t="shared" si="13"/>
        <v>0</v>
      </c>
      <c r="H59" s="455">
        <f t="shared" si="14"/>
        <v>0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2"/>
    </row>
    <row r="60" spans="2:16" ht="12.5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0</v>
      </c>
      <c r="E60" s="484">
        <f t="shared" si="11"/>
        <v>0</v>
      </c>
      <c r="F60" s="485">
        <f t="shared" si="12"/>
        <v>0</v>
      </c>
      <c r="G60" s="486">
        <f t="shared" si="13"/>
        <v>0</v>
      </c>
      <c r="H60" s="455">
        <f t="shared" si="14"/>
        <v>0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2"/>
    </row>
    <row r="61" spans="2:16" ht="12.5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11"/>
        <v>0</v>
      </c>
      <c r="F61" s="485">
        <f t="shared" si="12"/>
        <v>0</v>
      </c>
      <c r="G61" s="486">
        <f t="shared" si="13"/>
        <v>0</v>
      </c>
      <c r="H61" s="455">
        <f t="shared" si="14"/>
        <v>0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2"/>
    </row>
    <row r="62" spans="2:16" ht="12.5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2"/>
    </row>
    <row r="63" spans="2:16" ht="12.5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2"/>
    </row>
    <row r="64" spans="2:16" ht="12.5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2"/>
    </row>
    <row r="65" spans="2:16" ht="12.5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2"/>
    </row>
    <row r="66" spans="2:16" ht="12.5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2"/>
    </row>
    <row r="67" spans="2:16" ht="12.5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2"/>
    </row>
    <row r="68" spans="2:16" ht="12.5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2"/>
    </row>
    <row r="69" spans="2:16" ht="12.5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2"/>
    </row>
    <row r="70" spans="2:16" ht="12.5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2"/>
    </row>
    <row r="71" spans="2:16" ht="12.5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2"/>
    </row>
    <row r="72" spans="2:16" ht="13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2"/>
    </row>
    <row r="73" spans="2:16" ht="12.5">
      <c r="C73" s="346" t="s">
        <v>77</v>
      </c>
      <c r="D73" s="347"/>
      <c r="E73" s="347">
        <f>SUM(E17:E72)</f>
        <v>1961220.7100000004</v>
      </c>
      <c r="F73" s="347"/>
      <c r="G73" s="347">
        <f>SUM(G17:G72)</f>
        <v>6558905.8578053657</v>
      </c>
      <c r="H73" s="347">
        <f>SUM(H17:H72)</f>
        <v>6558905.8578053657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20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245473.68855677257</v>
      </c>
      <c r="N87" s="508">
        <f>IF(J92&lt;D11,0,VLOOKUP(J92,C17:O72,11))</f>
        <v>245473.68855677257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257652.80866980529</v>
      </c>
      <c r="N88" s="512">
        <f>IF(J92&lt;D11,0,VLOOKUP(J92,C99:P154,7))</f>
        <v>257652.80866980529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Sayre 138 kV Capacitor Bank Addition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12179.120113032724</v>
      </c>
      <c r="N89" s="517">
        <f>+N88-N87</f>
        <v>12179.120113032724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TP2015202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1961221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47835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0</v>
      </c>
      <c r="F99" s="584">
        <v>1140000</v>
      </c>
      <c r="G99" s="608">
        <v>570000</v>
      </c>
      <c r="H99" s="587">
        <v>72305.937255510624</v>
      </c>
      <c r="I99" s="607">
        <v>72305.937255510624</v>
      </c>
      <c r="J99" s="478">
        <f t="shared" ref="J99:J130" si="15">+I99-H99</f>
        <v>0</v>
      </c>
      <c r="K99" s="478"/>
      <c r="L99" s="477">
        <f>+H99</f>
        <v>72305.937255510624</v>
      </c>
      <c r="M99" s="477">
        <f t="shared" ref="M99:M130" si="16">IF(L99&lt;&gt;0,+H99-L99,0)</f>
        <v>0</v>
      </c>
      <c r="N99" s="477">
        <f>+I99</f>
        <v>72305.937255510624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578">
        <v>1961221</v>
      </c>
      <c r="E100" s="579">
        <v>47835</v>
      </c>
      <c r="F100" s="578">
        <v>1913386</v>
      </c>
      <c r="G100" s="579">
        <v>1937303.5</v>
      </c>
      <c r="H100" s="602">
        <v>247598.16362509641</v>
      </c>
      <c r="I100" s="578">
        <v>247598.16362509641</v>
      </c>
      <c r="J100" s="478">
        <f t="shared" si="15"/>
        <v>0</v>
      </c>
      <c r="K100" s="478"/>
      <c r="L100" s="476">
        <f>H100</f>
        <v>247598.16362509641</v>
      </c>
      <c r="M100" s="348">
        <f>IF(L100&lt;&gt;0,+H100-L100,0)</f>
        <v>0</v>
      </c>
      <c r="N100" s="476">
        <f>I100</f>
        <v>247598.16362509641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9">IF(D101=F100,"","IU")</f>
        <v/>
      </c>
      <c r="C101" s="472">
        <f>IF(D93="","-",+C100+1)</f>
        <v>2020</v>
      </c>
      <c r="D101" s="578">
        <v>1913386</v>
      </c>
      <c r="E101" s="579">
        <v>45610</v>
      </c>
      <c r="F101" s="578">
        <v>1867776</v>
      </c>
      <c r="G101" s="579">
        <v>1890581</v>
      </c>
      <c r="H101" s="602">
        <v>263588.79157611891</v>
      </c>
      <c r="I101" s="578">
        <v>263588.79157611891</v>
      </c>
      <c r="J101" s="478">
        <f t="shared" si="15"/>
        <v>0</v>
      </c>
      <c r="K101" s="478"/>
      <c r="L101" s="476">
        <f>H101</f>
        <v>263588.79157611891</v>
      </c>
      <c r="M101" s="348">
        <f>IF(L101&lt;&gt;0,+H101-L101,0)</f>
        <v>0</v>
      </c>
      <c r="N101" s="476">
        <f>I101</f>
        <v>263588.79157611891</v>
      </c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2021</v>
      </c>
      <c r="D102" s="346">
        <f>IF(F101+SUM(E$99:E101)=D$92,F101,D$92-SUM(E$99:E101))</f>
        <v>1867776</v>
      </c>
      <c r="E102" s="484">
        <f t="shared" ref="E102:E154" si="20">IF(+J$96&lt;F101,J$96,D102)</f>
        <v>47835</v>
      </c>
      <c r="F102" s="485">
        <f t="shared" ref="F102:F154" si="21">+D102-E102</f>
        <v>1819941</v>
      </c>
      <c r="G102" s="485">
        <f t="shared" ref="G102:G154" si="22">+(F102+D102)/2</f>
        <v>1843858.5</v>
      </c>
      <c r="H102" s="613">
        <f t="shared" ref="H102:H154" si="23">+J$94*G102+E102</f>
        <v>257652.80866980529</v>
      </c>
      <c r="I102" s="614">
        <f t="shared" ref="I102:I154" si="24">+J$95*G102+E102</f>
        <v>257652.80866980529</v>
      </c>
      <c r="J102" s="478">
        <f t="shared" si="15"/>
        <v>0</v>
      </c>
      <c r="K102" s="478"/>
      <c r="L102" s="487"/>
      <c r="M102" s="478">
        <f t="shared" si="16"/>
        <v>0</v>
      </c>
      <c r="N102" s="487"/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2022</v>
      </c>
      <c r="D103" s="346">
        <f>IF(F102+SUM(E$99:E102)=D$92,F102,D$92-SUM(E$99:E102))</f>
        <v>1819941</v>
      </c>
      <c r="E103" s="484">
        <f t="shared" si="20"/>
        <v>47835</v>
      </c>
      <c r="F103" s="485">
        <f t="shared" si="21"/>
        <v>1772106</v>
      </c>
      <c r="G103" s="485">
        <f t="shared" si="22"/>
        <v>1796023.5</v>
      </c>
      <c r="H103" s="613">
        <f t="shared" si="23"/>
        <v>252209.53041514524</v>
      </c>
      <c r="I103" s="614">
        <f t="shared" si="24"/>
        <v>252209.53041514524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2023</v>
      </c>
      <c r="D104" s="346">
        <f>IF(F103+SUM(E$99:E103)=D$92,F103,D$92-SUM(E$99:E103))</f>
        <v>1772106</v>
      </c>
      <c r="E104" s="484">
        <f t="shared" si="20"/>
        <v>47835</v>
      </c>
      <c r="F104" s="485">
        <f t="shared" si="21"/>
        <v>1724271</v>
      </c>
      <c r="G104" s="485">
        <f t="shared" si="22"/>
        <v>1748188.5</v>
      </c>
      <c r="H104" s="613">
        <f t="shared" si="23"/>
        <v>246766.25216048516</v>
      </c>
      <c r="I104" s="614">
        <f t="shared" si="24"/>
        <v>246766.25216048516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2024</v>
      </c>
      <c r="D105" s="346">
        <f>IF(F104+SUM(E$99:E104)=D$92,F104,D$92-SUM(E$99:E104))</f>
        <v>1724271</v>
      </c>
      <c r="E105" s="484">
        <f t="shared" si="20"/>
        <v>47835</v>
      </c>
      <c r="F105" s="485">
        <f t="shared" si="21"/>
        <v>1676436</v>
      </c>
      <c r="G105" s="485">
        <f t="shared" si="22"/>
        <v>1700353.5</v>
      </c>
      <c r="H105" s="613">
        <f t="shared" si="23"/>
        <v>241322.97390582509</v>
      </c>
      <c r="I105" s="614">
        <f t="shared" si="24"/>
        <v>241322.97390582509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2025</v>
      </c>
      <c r="D106" s="346">
        <f>IF(F105+SUM(E$99:E105)=D$92,F105,D$92-SUM(E$99:E105))</f>
        <v>1676436</v>
      </c>
      <c r="E106" s="484">
        <f t="shared" si="20"/>
        <v>47835</v>
      </c>
      <c r="F106" s="485">
        <f t="shared" si="21"/>
        <v>1628601</v>
      </c>
      <c r="G106" s="485">
        <f t="shared" si="22"/>
        <v>1652518.5</v>
      </c>
      <c r="H106" s="613">
        <f t="shared" si="23"/>
        <v>235879.69565116504</v>
      </c>
      <c r="I106" s="614">
        <f t="shared" si="24"/>
        <v>235879.69565116504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2026</v>
      </c>
      <c r="D107" s="346">
        <f>IF(F106+SUM(E$99:E106)=D$92,F106,D$92-SUM(E$99:E106))</f>
        <v>1628601</v>
      </c>
      <c r="E107" s="484">
        <f t="shared" si="20"/>
        <v>47835</v>
      </c>
      <c r="F107" s="485">
        <f t="shared" si="21"/>
        <v>1580766</v>
      </c>
      <c r="G107" s="485">
        <f t="shared" si="22"/>
        <v>1604683.5</v>
      </c>
      <c r="H107" s="613">
        <f t="shared" si="23"/>
        <v>230436.41739650496</v>
      </c>
      <c r="I107" s="614">
        <f t="shared" si="24"/>
        <v>230436.41739650496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2027</v>
      </c>
      <c r="D108" s="346">
        <f>IF(F107+SUM(E$99:E107)=D$92,F107,D$92-SUM(E$99:E107))</f>
        <v>1580766</v>
      </c>
      <c r="E108" s="484">
        <f t="shared" si="20"/>
        <v>47835</v>
      </c>
      <c r="F108" s="485">
        <f t="shared" si="21"/>
        <v>1532931</v>
      </c>
      <c r="G108" s="485">
        <f t="shared" si="22"/>
        <v>1556848.5</v>
      </c>
      <c r="H108" s="613">
        <f t="shared" si="23"/>
        <v>224993.13914184488</v>
      </c>
      <c r="I108" s="614">
        <f t="shared" si="24"/>
        <v>224993.13914184488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2028</v>
      </c>
      <c r="D109" s="346">
        <f>IF(F108+SUM(E$99:E108)=D$92,F108,D$92-SUM(E$99:E108))</f>
        <v>1532931</v>
      </c>
      <c r="E109" s="484">
        <f t="shared" si="20"/>
        <v>47835</v>
      </c>
      <c r="F109" s="485">
        <f t="shared" si="21"/>
        <v>1485096</v>
      </c>
      <c r="G109" s="485">
        <f t="shared" si="22"/>
        <v>1509013.5</v>
      </c>
      <c r="H109" s="613">
        <f t="shared" si="23"/>
        <v>219549.8608871848</v>
      </c>
      <c r="I109" s="614">
        <f t="shared" si="24"/>
        <v>219549.8608871848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2029</v>
      </c>
      <c r="D110" s="346">
        <f>IF(F109+SUM(E$99:E109)=D$92,F109,D$92-SUM(E$99:E109))</f>
        <v>1485096</v>
      </c>
      <c r="E110" s="484">
        <f t="shared" si="20"/>
        <v>47835</v>
      </c>
      <c r="F110" s="485">
        <f t="shared" si="21"/>
        <v>1437261</v>
      </c>
      <c r="G110" s="485">
        <f t="shared" si="22"/>
        <v>1461178.5</v>
      </c>
      <c r="H110" s="613">
        <f t="shared" si="23"/>
        <v>214106.58263252475</v>
      </c>
      <c r="I110" s="614">
        <f t="shared" si="24"/>
        <v>214106.58263252475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2030</v>
      </c>
      <c r="D111" s="346">
        <f>IF(F110+SUM(E$99:E110)=D$92,F110,D$92-SUM(E$99:E110))</f>
        <v>1437261</v>
      </c>
      <c r="E111" s="484">
        <f t="shared" si="20"/>
        <v>47835</v>
      </c>
      <c r="F111" s="485">
        <f t="shared" si="21"/>
        <v>1389426</v>
      </c>
      <c r="G111" s="485">
        <f t="shared" si="22"/>
        <v>1413343.5</v>
      </c>
      <c r="H111" s="613">
        <f t="shared" si="23"/>
        <v>208663.30437786467</v>
      </c>
      <c r="I111" s="614">
        <f t="shared" si="24"/>
        <v>208663.30437786467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2031</v>
      </c>
      <c r="D112" s="346">
        <f>IF(F111+SUM(E$99:E111)=D$92,F111,D$92-SUM(E$99:E111))</f>
        <v>1389426</v>
      </c>
      <c r="E112" s="484">
        <f t="shared" si="20"/>
        <v>47835</v>
      </c>
      <c r="F112" s="485">
        <f t="shared" si="21"/>
        <v>1341591</v>
      </c>
      <c r="G112" s="485">
        <f t="shared" si="22"/>
        <v>1365508.5</v>
      </c>
      <c r="H112" s="613">
        <f t="shared" si="23"/>
        <v>203220.02612320459</v>
      </c>
      <c r="I112" s="614">
        <f t="shared" si="24"/>
        <v>203220.02612320459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2032</v>
      </c>
      <c r="D113" s="346">
        <f>IF(F112+SUM(E$99:E112)=D$92,F112,D$92-SUM(E$99:E112))</f>
        <v>1341591</v>
      </c>
      <c r="E113" s="484">
        <f t="shared" si="20"/>
        <v>47835</v>
      </c>
      <c r="F113" s="485">
        <f t="shared" si="21"/>
        <v>1293756</v>
      </c>
      <c r="G113" s="485">
        <f t="shared" si="22"/>
        <v>1317673.5</v>
      </c>
      <c r="H113" s="613">
        <f t="shared" si="23"/>
        <v>197776.74786854454</v>
      </c>
      <c r="I113" s="614">
        <f t="shared" si="24"/>
        <v>197776.74786854454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2033</v>
      </c>
      <c r="D114" s="346">
        <f>IF(F113+SUM(E$99:E113)=D$92,F113,D$92-SUM(E$99:E113))</f>
        <v>1293756</v>
      </c>
      <c r="E114" s="484">
        <f t="shared" si="20"/>
        <v>47835</v>
      </c>
      <c r="F114" s="485">
        <f t="shared" si="21"/>
        <v>1245921</v>
      </c>
      <c r="G114" s="485">
        <f t="shared" si="22"/>
        <v>1269838.5</v>
      </c>
      <c r="H114" s="613">
        <f t="shared" si="23"/>
        <v>192333.46961388446</v>
      </c>
      <c r="I114" s="614">
        <f t="shared" si="24"/>
        <v>192333.46961388446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2034</v>
      </c>
      <c r="D115" s="346">
        <f>IF(F114+SUM(E$99:E114)=D$92,F114,D$92-SUM(E$99:E114))</f>
        <v>1245921</v>
      </c>
      <c r="E115" s="484">
        <f t="shared" si="20"/>
        <v>47835</v>
      </c>
      <c r="F115" s="485">
        <f t="shared" si="21"/>
        <v>1198086</v>
      </c>
      <c r="G115" s="485">
        <f t="shared" si="22"/>
        <v>1222003.5</v>
      </c>
      <c r="H115" s="613">
        <f t="shared" si="23"/>
        <v>186890.19135922438</v>
      </c>
      <c r="I115" s="614">
        <f t="shared" si="24"/>
        <v>186890.19135922438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2035</v>
      </c>
      <c r="D116" s="346">
        <f>IF(F115+SUM(E$99:E115)=D$92,F115,D$92-SUM(E$99:E115))</f>
        <v>1198086</v>
      </c>
      <c r="E116" s="484">
        <f t="shared" si="20"/>
        <v>47835</v>
      </c>
      <c r="F116" s="485">
        <f t="shared" si="21"/>
        <v>1150251</v>
      </c>
      <c r="G116" s="485">
        <f t="shared" si="22"/>
        <v>1174168.5</v>
      </c>
      <c r="H116" s="613">
        <f t="shared" si="23"/>
        <v>181446.9131045643</v>
      </c>
      <c r="I116" s="614">
        <f t="shared" si="24"/>
        <v>181446.9131045643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2036</v>
      </c>
      <c r="D117" s="346">
        <f>IF(F116+SUM(E$99:E116)=D$92,F116,D$92-SUM(E$99:E116))</f>
        <v>1150251</v>
      </c>
      <c r="E117" s="484">
        <f t="shared" si="20"/>
        <v>47835</v>
      </c>
      <c r="F117" s="485">
        <f t="shared" si="21"/>
        <v>1102416</v>
      </c>
      <c r="G117" s="485">
        <f t="shared" si="22"/>
        <v>1126333.5</v>
      </c>
      <c r="H117" s="613">
        <f t="shared" si="23"/>
        <v>176003.63484990422</v>
      </c>
      <c r="I117" s="614">
        <f t="shared" si="24"/>
        <v>176003.63484990422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2037</v>
      </c>
      <c r="D118" s="346">
        <f>IF(F117+SUM(E$99:E117)=D$92,F117,D$92-SUM(E$99:E117))</f>
        <v>1102416</v>
      </c>
      <c r="E118" s="484">
        <f t="shared" si="20"/>
        <v>47835</v>
      </c>
      <c r="F118" s="485">
        <f t="shared" si="21"/>
        <v>1054581</v>
      </c>
      <c r="G118" s="485">
        <f t="shared" si="22"/>
        <v>1078498.5</v>
      </c>
      <c r="H118" s="613">
        <f t="shared" si="23"/>
        <v>170560.35659524417</v>
      </c>
      <c r="I118" s="614">
        <f t="shared" si="24"/>
        <v>170560.35659524417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2038</v>
      </c>
      <c r="D119" s="346">
        <f>IF(F118+SUM(E$99:E118)=D$92,F118,D$92-SUM(E$99:E118))</f>
        <v>1054581</v>
      </c>
      <c r="E119" s="484">
        <f t="shared" si="20"/>
        <v>47835</v>
      </c>
      <c r="F119" s="485">
        <f t="shared" si="21"/>
        <v>1006746</v>
      </c>
      <c r="G119" s="485">
        <f t="shared" si="22"/>
        <v>1030663.5</v>
      </c>
      <c r="H119" s="613">
        <f t="shared" si="23"/>
        <v>165117.07834058409</v>
      </c>
      <c r="I119" s="614">
        <f t="shared" si="24"/>
        <v>165117.07834058409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2039</v>
      </c>
      <c r="D120" s="346">
        <f>IF(F119+SUM(E$99:E119)=D$92,F119,D$92-SUM(E$99:E119))</f>
        <v>1006746</v>
      </c>
      <c r="E120" s="484">
        <f t="shared" si="20"/>
        <v>47835</v>
      </c>
      <c r="F120" s="485">
        <f t="shared" si="21"/>
        <v>958911</v>
      </c>
      <c r="G120" s="485">
        <f t="shared" si="22"/>
        <v>982828.5</v>
      </c>
      <c r="H120" s="613">
        <f t="shared" si="23"/>
        <v>159673.80008592404</v>
      </c>
      <c r="I120" s="614">
        <f t="shared" si="24"/>
        <v>159673.80008592404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2040</v>
      </c>
      <c r="D121" s="346">
        <f>IF(F120+SUM(E$99:E120)=D$92,F120,D$92-SUM(E$99:E120))</f>
        <v>958911</v>
      </c>
      <c r="E121" s="484">
        <f t="shared" si="20"/>
        <v>47835</v>
      </c>
      <c r="F121" s="485">
        <f t="shared" si="21"/>
        <v>911076</v>
      </c>
      <c r="G121" s="485">
        <f t="shared" si="22"/>
        <v>934993.5</v>
      </c>
      <c r="H121" s="613">
        <f t="shared" si="23"/>
        <v>154230.52183126396</v>
      </c>
      <c r="I121" s="614">
        <f t="shared" si="24"/>
        <v>154230.52183126396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2041</v>
      </c>
      <c r="D122" s="346">
        <f>IF(F121+SUM(E$99:E121)=D$92,F121,D$92-SUM(E$99:E121))</f>
        <v>911076</v>
      </c>
      <c r="E122" s="484">
        <f t="shared" si="20"/>
        <v>47835</v>
      </c>
      <c r="F122" s="485">
        <f t="shared" si="21"/>
        <v>863241</v>
      </c>
      <c r="G122" s="485">
        <f t="shared" si="22"/>
        <v>887158.5</v>
      </c>
      <c r="H122" s="613">
        <f t="shared" si="23"/>
        <v>148787.24357660388</v>
      </c>
      <c r="I122" s="614">
        <f t="shared" si="24"/>
        <v>148787.24357660388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2042</v>
      </c>
      <c r="D123" s="346">
        <f>IF(F122+SUM(E$99:E122)=D$92,F122,D$92-SUM(E$99:E122))</f>
        <v>863241</v>
      </c>
      <c r="E123" s="484">
        <f t="shared" si="20"/>
        <v>47835</v>
      </c>
      <c r="F123" s="485">
        <f t="shared" si="21"/>
        <v>815406</v>
      </c>
      <c r="G123" s="485">
        <f t="shared" si="22"/>
        <v>839323.5</v>
      </c>
      <c r="H123" s="613">
        <f t="shared" si="23"/>
        <v>143343.9653219438</v>
      </c>
      <c r="I123" s="614">
        <f t="shared" si="24"/>
        <v>143343.9653219438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2043</v>
      </c>
      <c r="D124" s="346">
        <f>IF(F123+SUM(E$99:E123)=D$92,F123,D$92-SUM(E$99:E123))</f>
        <v>815406</v>
      </c>
      <c r="E124" s="484">
        <f t="shared" si="20"/>
        <v>47835</v>
      </c>
      <c r="F124" s="485">
        <f t="shared" si="21"/>
        <v>767571</v>
      </c>
      <c r="G124" s="485">
        <f t="shared" si="22"/>
        <v>791488.5</v>
      </c>
      <c r="H124" s="613">
        <f t="shared" si="23"/>
        <v>137900.68706728372</v>
      </c>
      <c r="I124" s="614">
        <f t="shared" si="24"/>
        <v>137900.68706728372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2044</v>
      </c>
      <c r="D125" s="346">
        <f>IF(F124+SUM(E$99:E124)=D$92,F124,D$92-SUM(E$99:E124))</f>
        <v>767571</v>
      </c>
      <c r="E125" s="484">
        <f t="shared" si="20"/>
        <v>47835</v>
      </c>
      <c r="F125" s="485">
        <f t="shared" si="21"/>
        <v>719736</v>
      </c>
      <c r="G125" s="485">
        <f t="shared" si="22"/>
        <v>743653.5</v>
      </c>
      <c r="H125" s="613">
        <f t="shared" si="23"/>
        <v>132457.40881262367</v>
      </c>
      <c r="I125" s="614">
        <f t="shared" si="24"/>
        <v>132457.40881262367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2045</v>
      </c>
      <c r="D126" s="346">
        <f>IF(F125+SUM(E$99:E125)=D$92,F125,D$92-SUM(E$99:E125))</f>
        <v>719736</v>
      </c>
      <c r="E126" s="484">
        <f t="shared" si="20"/>
        <v>47835</v>
      </c>
      <c r="F126" s="485">
        <f t="shared" si="21"/>
        <v>671901</v>
      </c>
      <c r="G126" s="485">
        <f t="shared" si="22"/>
        <v>695818.5</v>
      </c>
      <c r="H126" s="613">
        <f t="shared" si="23"/>
        <v>127014.1305579636</v>
      </c>
      <c r="I126" s="614">
        <f t="shared" si="24"/>
        <v>127014.1305579636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2046</v>
      </c>
      <c r="D127" s="346">
        <f>IF(F126+SUM(E$99:E126)=D$92,F126,D$92-SUM(E$99:E126))</f>
        <v>671901</v>
      </c>
      <c r="E127" s="484">
        <f t="shared" si="20"/>
        <v>47835</v>
      </c>
      <c r="F127" s="485">
        <f t="shared" si="21"/>
        <v>624066</v>
      </c>
      <c r="G127" s="485">
        <f t="shared" si="22"/>
        <v>647983.5</v>
      </c>
      <c r="H127" s="613">
        <f t="shared" si="23"/>
        <v>121570.85230330353</v>
      </c>
      <c r="I127" s="614">
        <f t="shared" si="24"/>
        <v>121570.85230330353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2047</v>
      </c>
      <c r="D128" s="346">
        <f>IF(F127+SUM(E$99:E127)=D$92,F127,D$92-SUM(E$99:E127))</f>
        <v>624066</v>
      </c>
      <c r="E128" s="484">
        <f t="shared" si="20"/>
        <v>47835</v>
      </c>
      <c r="F128" s="485">
        <f t="shared" si="21"/>
        <v>576231</v>
      </c>
      <c r="G128" s="485">
        <f t="shared" si="22"/>
        <v>600148.5</v>
      </c>
      <c r="H128" s="613">
        <f t="shared" si="23"/>
        <v>116127.57404864345</v>
      </c>
      <c r="I128" s="614">
        <f t="shared" si="24"/>
        <v>116127.57404864345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2048</v>
      </c>
      <c r="D129" s="346">
        <f>IF(F128+SUM(E$99:E128)=D$92,F128,D$92-SUM(E$99:E128))</f>
        <v>576231</v>
      </c>
      <c r="E129" s="484">
        <f t="shared" si="20"/>
        <v>47835</v>
      </c>
      <c r="F129" s="485">
        <f t="shared" si="21"/>
        <v>528396</v>
      </c>
      <c r="G129" s="485">
        <f t="shared" si="22"/>
        <v>552313.5</v>
      </c>
      <c r="H129" s="613">
        <f t="shared" si="23"/>
        <v>110684.29579398339</v>
      </c>
      <c r="I129" s="614">
        <f t="shared" si="24"/>
        <v>110684.29579398339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2049</v>
      </c>
      <c r="D130" s="346">
        <f>IF(F129+SUM(E$99:E129)=D$92,F129,D$92-SUM(E$99:E129))</f>
        <v>528396</v>
      </c>
      <c r="E130" s="484">
        <f t="shared" si="20"/>
        <v>47835</v>
      </c>
      <c r="F130" s="485">
        <f t="shared" si="21"/>
        <v>480561</v>
      </c>
      <c r="G130" s="485">
        <f t="shared" si="22"/>
        <v>504478.5</v>
      </c>
      <c r="H130" s="613">
        <f t="shared" si="23"/>
        <v>105241.01753932331</v>
      </c>
      <c r="I130" s="614">
        <f t="shared" si="24"/>
        <v>105241.01753932331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2050</v>
      </c>
      <c r="D131" s="346">
        <f>IF(F130+SUM(E$99:E130)=D$92,F130,D$92-SUM(E$99:E130))</f>
        <v>480561</v>
      </c>
      <c r="E131" s="484">
        <f t="shared" si="20"/>
        <v>47835</v>
      </c>
      <c r="F131" s="485">
        <f t="shared" si="21"/>
        <v>432726</v>
      </c>
      <c r="G131" s="485">
        <f t="shared" si="22"/>
        <v>456643.5</v>
      </c>
      <c r="H131" s="613">
        <f t="shared" si="23"/>
        <v>99797.739284663243</v>
      </c>
      <c r="I131" s="614">
        <f t="shared" si="24"/>
        <v>99797.739284663243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9"/>
        <v/>
      </c>
      <c r="C132" s="472">
        <f>IF(D93="","-",+C131+1)</f>
        <v>2051</v>
      </c>
      <c r="D132" s="346">
        <f>IF(F131+SUM(E$99:E131)=D$92,F131,D$92-SUM(E$99:E131))</f>
        <v>432726</v>
      </c>
      <c r="E132" s="484">
        <f t="shared" si="20"/>
        <v>47835</v>
      </c>
      <c r="F132" s="485">
        <f t="shared" si="21"/>
        <v>384891</v>
      </c>
      <c r="G132" s="485">
        <f t="shared" si="22"/>
        <v>408808.5</v>
      </c>
      <c r="H132" s="613">
        <f t="shared" si="23"/>
        <v>94354.461030003178</v>
      </c>
      <c r="I132" s="614">
        <f t="shared" si="24"/>
        <v>94354.461030003178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9"/>
        <v/>
      </c>
      <c r="C133" s="472">
        <f>IF(D93="","-",+C132+1)</f>
        <v>2052</v>
      </c>
      <c r="D133" s="346">
        <f>IF(F132+SUM(E$99:E132)=D$92,F132,D$92-SUM(E$99:E132))</f>
        <v>384891</v>
      </c>
      <c r="E133" s="484">
        <f t="shared" si="20"/>
        <v>47835</v>
      </c>
      <c r="F133" s="485">
        <f t="shared" si="21"/>
        <v>337056</v>
      </c>
      <c r="G133" s="485">
        <f t="shared" si="22"/>
        <v>360973.5</v>
      </c>
      <c r="H133" s="613">
        <f t="shared" si="23"/>
        <v>88911.182775343099</v>
      </c>
      <c r="I133" s="614">
        <f t="shared" si="24"/>
        <v>88911.182775343099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9"/>
        <v/>
      </c>
      <c r="C134" s="472">
        <f>IF(D93="","-",+C133+1)</f>
        <v>2053</v>
      </c>
      <c r="D134" s="346">
        <f>IF(F133+SUM(E$99:E133)=D$92,F133,D$92-SUM(E$99:E133))</f>
        <v>337056</v>
      </c>
      <c r="E134" s="484">
        <f t="shared" si="20"/>
        <v>47835</v>
      </c>
      <c r="F134" s="485">
        <f t="shared" si="21"/>
        <v>289221</v>
      </c>
      <c r="G134" s="485">
        <f t="shared" si="22"/>
        <v>313138.5</v>
      </c>
      <c r="H134" s="613">
        <f t="shared" si="23"/>
        <v>83467.90452068302</v>
      </c>
      <c r="I134" s="614">
        <f t="shared" si="24"/>
        <v>83467.90452068302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9"/>
        <v/>
      </c>
      <c r="C135" s="472">
        <f>IF(D93="","-",+C134+1)</f>
        <v>2054</v>
      </c>
      <c r="D135" s="346">
        <f>IF(F134+SUM(E$99:E134)=D$92,F134,D$92-SUM(E$99:E134))</f>
        <v>289221</v>
      </c>
      <c r="E135" s="484">
        <f t="shared" si="20"/>
        <v>47835</v>
      </c>
      <c r="F135" s="485">
        <f t="shared" si="21"/>
        <v>241386</v>
      </c>
      <c r="G135" s="485">
        <f t="shared" si="22"/>
        <v>265303.5</v>
      </c>
      <c r="H135" s="613">
        <f t="shared" si="23"/>
        <v>78024.626266022955</v>
      </c>
      <c r="I135" s="614">
        <f t="shared" si="24"/>
        <v>78024.626266022955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9"/>
        <v/>
      </c>
      <c r="C136" s="472">
        <f>IF(D93="","-",+C135+1)</f>
        <v>2055</v>
      </c>
      <c r="D136" s="346">
        <f>IF(F135+SUM(E$99:E135)=D$92,F135,D$92-SUM(E$99:E135))</f>
        <v>241386</v>
      </c>
      <c r="E136" s="484">
        <f t="shared" si="20"/>
        <v>47835</v>
      </c>
      <c r="F136" s="485">
        <f t="shared" si="21"/>
        <v>193551</v>
      </c>
      <c r="G136" s="485">
        <f t="shared" si="22"/>
        <v>217468.5</v>
      </c>
      <c r="H136" s="613">
        <f t="shared" si="23"/>
        <v>72581.34801136289</v>
      </c>
      <c r="I136" s="614">
        <f t="shared" si="24"/>
        <v>72581.34801136289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9"/>
        <v/>
      </c>
      <c r="C137" s="472">
        <f>IF(D93="","-",+C136+1)</f>
        <v>2056</v>
      </c>
      <c r="D137" s="346">
        <f>IF(F136+SUM(E$99:E136)=D$92,F136,D$92-SUM(E$99:E136))</f>
        <v>193551</v>
      </c>
      <c r="E137" s="484">
        <f t="shared" si="20"/>
        <v>47835</v>
      </c>
      <c r="F137" s="485">
        <f t="shared" si="21"/>
        <v>145716</v>
      </c>
      <c r="G137" s="485">
        <f t="shared" si="22"/>
        <v>169633.5</v>
      </c>
      <c r="H137" s="613">
        <f t="shared" si="23"/>
        <v>67138.069756702811</v>
      </c>
      <c r="I137" s="614">
        <f t="shared" si="24"/>
        <v>67138.069756702811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9"/>
        <v/>
      </c>
      <c r="C138" s="472">
        <f>IF(D93="","-",+C137+1)</f>
        <v>2057</v>
      </c>
      <c r="D138" s="346">
        <f>IF(F137+SUM(E$99:E137)=D$92,F137,D$92-SUM(E$99:E137))</f>
        <v>145716</v>
      </c>
      <c r="E138" s="484">
        <f t="shared" si="20"/>
        <v>47835</v>
      </c>
      <c r="F138" s="485">
        <f t="shared" si="21"/>
        <v>97881</v>
      </c>
      <c r="G138" s="485">
        <f t="shared" si="22"/>
        <v>121798.5</v>
      </c>
      <c r="H138" s="613">
        <f t="shared" si="23"/>
        <v>61694.791502042746</v>
      </c>
      <c r="I138" s="614">
        <f t="shared" si="24"/>
        <v>61694.791502042746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9"/>
        <v/>
      </c>
      <c r="C139" s="472">
        <f>IF(D93="","-",+C138+1)</f>
        <v>2058</v>
      </c>
      <c r="D139" s="346">
        <f>IF(F138+SUM(E$99:E138)=D$92,F138,D$92-SUM(E$99:E138))</f>
        <v>97881</v>
      </c>
      <c r="E139" s="484">
        <f t="shared" si="20"/>
        <v>47835</v>
      </c>
      <c r="F139" s="485">
        <f t="shared" si="21"/>
        <v>50046</v>
      </c>
      <c r="G139" s="485">
        <f t="shared" si="22"/>
        <v>73963.5</v>
      </c>
      <c r="H139" s="613">
        <f t="shared" si="23"/>
        <v>56251.513247382674</v>
      </c>
      <c r="I139" s="614">
        <f t="shared" si="24"/>
        <v>56251.513247382674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9"/>
        <v/>
      </c>
      <c r="C140" s="472">
        <f>IF(D93="","-",+C139+1)</f>
        <v>2059</v>
      </c>
      <c r="D140" s="346">
        <f>IF(F139+SUM(E$99:E139)=D$92,F139,D$92-SUM(E$99:E139))</f>
        <v>50046</v>
      </c>
      <c r="E140" s="484">
        <f t="shared" si="20"/>
        <v>47835</v>
      </c>
      <c r="F140" s="485">
        <f t="shared" si="21"/>
        <v>2211</v>
      </c>
      <c r="G140" s="485">
        <f t="shared" si="22"/>
        <v>26128.5</v>
      </c>
      <c r="H140" s="613">
        <f t="shared" si="23"/>
        <v>50808.234992722602</v>
      </c>
      <c r="I140" s="614">
        <f t="shared" si="24"/>
        <v>50808.234992722602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9"/>
        <v/>
      </c>
      <c r="C141" s="472">
        <f>IF(D93="","-",+C140+1)</f>
        <v>2060</v>
      </c>
      <c r="D141" s="346">
        <f>IF(F140+SUM(E$99:E140)=D$92,F140,D$92-SUM(E$99:E140))</f>
        <v>2211</v>
      </c>
      <c r="E141" s="484">
        <f t="shared" si="20"/>
        <v>2211</v>
      </c>
      <c r="F141" s="485">
        <f t="shared" si="21"/>
        <v>0</v>
      </c>
      <c r="G141" s="485">
        <f t="shared" si="22"/>
        <v>1105.5</v>
      </c>
      <c r="H141" s="613">
        <f t="shared" si="23"/>
        <v>2336.7979326962832</v>
      </c>
      <c r="I141" s="614">
        <f t="shared" si="24"/>
        <v>2336.7979326962832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9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23"/>
        <v>0</v>
      </c>
      <c r="I142" s="614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9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23"/>
        <v>0</v>
      </c>
      <c r="I143" s="614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9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23"/>
        <v>0</v>
      </c>
      <c r="I144" s="614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9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23"/>
        <v>0</v>
      </c>
      <c r="I145" s="614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9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23"/>
        <v>0</v>
      </c>
      <c r="I146" s="614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9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23"/>
        <v>0</v>
      </c>
      <c r="I147" s="614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9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23"/>
        <v>0</v>
      </c>
      <c r="I148" s="614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9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23"/>
        <v>0</v>
      </c>
      <c r="I149" s="614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9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23"/>
        <v>0</v>
      </c>
      <c r="I150" s="614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9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23"/>
        <v>0</v>
      </c>
      <c r="I151" s="614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9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23"/>
        <v>0</v>
      </c>
      <c r="I152" s="614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9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23"/>
        <v>0</v>
      </c>
      <c r="I153" s="614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9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23"/>
        <v>0</v>
      </c>
      <c r="I154" s="616">
        <f t="shared" si="24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1961221</v>
      </c>
      <c r="F155" s="347"/>
      <c r="G155" s="347"/>
      <c r="H155" s="347">
        <f>SUM(H99:H154)</f>
        <v>6600820.041808717</v>
      </c>
      <c r="I155" s="347">
        <f>SUM(I99:I154)</f>
        <v>6600820.041808717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0"/>
  <dimension ref="A1:P162"/>
  <sheetViews>
    <sheetView view="pageBreakPreview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21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42854.492332323091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42854.492332323091</v>
      </c>
      <c r="O6" s="232"/>
      <c r="P6" s="232"/>
    </row>
    <row r="7" spans="1:16" ht="13.5" thickBot="1">
      <c r="C7" s="431" t="s">
        <v>46</v>
      </c>
      <c r="D7" s="599" t="s">
        <v>279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299</v>
      </c>
      <c r="E9" s="577" t="s">
        <v>300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330872.36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8483.9066666666658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2017</v>
      </c>
      <c r="D17" s="584">
        <v>0</v>
      </c>
      <c r="E17" s="608">
        <v>2847.8260869565215</v>
      </c>
      <c r="F17" s="584">
        <v>259152.17391304349</v>
      </c>
      <c r="G17" s="608">
        <v>19337.763747649027</v>
      </c>
      <c r="H17" s="587">
        <v>19337.763747649027</v>
      </c>
      <c r="I17" s="475">
        <f t="shared" ref="I17:I72" si="0">H17-G17</f>
        <v>0</v>
      </c>
      <c r="J17" s="475"/>
      <c r="K17" s="477">
        <f t="shared" ref="K17:K22" si="1">+G17</f>
        <v>19337.763747649027</v>
      </c>
      <c r="L17" s="477">
        <f t="shared" ref="L17:L72" si="2">IF(K17&lt;&gt;0,+G17-K17,0)</f>
        <v>0</v>
      </c>
      <c r="M17" s="477">
        <f t="shared" ref="M17:M22" si="3">+H17</f>
        <v>19337.763747649027</v>
      </c>
      <c r="N17" s="477">
        <f t="shared" ref="N17:N72" si="4">IF(M17&lt;&gt;0,+H17-M17,0)</f>
        <v>0</v>
      </c>
      <c r="O17" s="478">
        <f t="shared" ref="O17:O72" si="5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2018</v>
      </c>
      <c r="D18" s="584">
        <v>259152.17391304349</v>
      </c>
      <c r="E18" s="585">
        <v>5822.2222222222226</v>
      </c>
      <c r="F18" s="584">
        <v>253329.95169082127</v>
      </c>
      <c r="G18" s="585">
        <v>36509.380469214986</v>
      </c>
      <c r="H18" s="587">
        <v>36509.380469214986</v>
      </c>
      <c r="I18" s="475">
        <f t="shared" si="0"/>
        <v>0</v>
      </c>
      <c r="J18" s="475"/>
      <c r="K18" s="478">
        <f t="shared" si="1"/>
        <v>36509.380469214986</v>
      </c>
      <c r="L18" s="478">
        <f t="shared" si="2"/>
        <v>0</v>
      </c>
      <c r="M18" s="478">
        <f t="shared" si="3"/>
        <v>36509.380469214986</v>
      </c>
      <c r="N18" s="478">
        <f t="shared" si="4"/>
        <v>0</v>
      </c>
      <c r="O18" s="478">
        <f t="shared" si="5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2019</v>
      </c>
      <c r="D19" s="584">
        <v>253329.95169082127</v>
      </c>
      <c r="E19" s="585">
        <v>6550</v>
      </c>
      <c r="F19" s="584">
        <v>246779.95169082127</v>
      </c>
      <c r="G19" s="585">
        <v>34470.293545069071</v>
      </c>
      <c r="H19" s="587">
        <v>34470.293545069071</v>
      </c>
      <c r="I19" s="475">
        <f t="shared" si="0"/>
        <v>0</v>
      </c>
      <c r="J19" s="475"/>
      <c r="K19" s="478">
        <f t="shared" si="1"/>
        <v>34470.293545069071</v>
      </c>
      <c r="L19" s="478">
        <f t="shared" ref="L19" si="6">IF(K19&lt;&gt;0,+G19-K19,0)</f>
        <v>0</v>
      </c>
      <c r="M19" s="478">
        <f t="shared" si="3"/>
        <v>34470.293545069071</v>
      </c>
      <c r="N19" s="478">
        <f t="shared" si="4"/>
        <v>0</v>
      </c>
      <c r="O19" s="478">
        <f t="shared" si="5"/>
        <v>0</v>
      </c>
      <c r="P19" s="242"/>
    </row>
    <row r="20" spans="2:16" ht="12.5">
      <c r="B20" s="160" t="str">
        <f t="shared" ref="B20:B72" si="7">IF(D20=F19,"","IU")</f>
        <v>IU</v>
      </c>
      <c r="C20" s="472">
        <f>IF(D11="","-",+C19+1)</f>
        <v>2020</v>
      </c>
      <c r="D20" s="584">
        <v>316379.72946859902</v>
      </c>
      <c r="E20" s="585">
        <v>7877.9047619047615</v>
      </c>
      <c r="F20" s="584">
        <v>308501.82470669429</v>
      </c>
      <c r="G20" s="585">
        <v>41623.00118882845</v>
      </c>
      <c r="H20" s="587">
        <v>41623.00118882845</v>
      </c>
      <c r="I20" s="475">
        <f t="shared" si="0"/>
        <v>0</v>
      </c>
      <c r="J20" s="475"/>
      <c r="K20" s="478">
        <f t="shared" si="1"/>
        <v>41623.00118882845</v>
      </c>
      <c r="L20" s="478">
        <f t="shared" ref="L20" si="8">IF(K20&lt;&gt;0,+G20-K20,0)</f>
        <v>0</v>
      </c>
      <c r="M20" s="478">
        <f t="shared" si="3"/>
        <v>41623.00118882845</v>
      </c>
      <c r="N20" s="478">
        <f t="shared" si="4"/>
        <v>0</v>
      </c>
      <c r="O20" s="478">
        <f t="shared" si="5"/>
        <v>0</v>
      </c>
      <c r="P20" s="242"/>
    </row>
    <row r="21" spans="2:16" ht="12.5">
      <c r="B21" s="160" t="str">
        <f t="shared" si="7"/>
        <v>IU</v>
      </c>
      <c r="C21" s="472">
        <f>IF(D11="","-",+C20+1)</f>
        <v>2021</v>
      </c>
      <c r="D21" s="584">
        <v>307774.04692891648</v>
      </c>
      <c r="E21" s="585">
        <v>7694.6976744186049</v>
      </c>
      <c r="F21" s="584">
        <v>300079.34925449785</v>
      </c>
      <c r="G21" s="585">
        <v>40464.576318636115</v>
      </c>
      <c r="H21" s="587">
        <v>40464.576318636115</v>
      </c>
      <c r="I21" s="475">
        <f t="shared" si="0"/>
        <v>0</v>
      </c>
      <c r="J21" s="475"/>
      <c r="K21" s="478">
        <f t="shared" si="1"/>
        <v>40464.576318636115</v>
      </c>
      <c r="L21" s="478">
        <f t="shared" ref="L21" si="9">IF(K21&lt;&gt;0,+G21-K21,0)</f>
        <v>0</v>
      </c>
      <c r="M21" s="478">
        <f t="shared" si="3"/>
        <v>40464.576318636115</v>
      </c>
      <c r="N21" s="478">
        <f t="shared" si="4"/>
        <v>0</v>
      </c>
      <c r="O21" s="478">
        <f t="shared" si="5"/>
        <v>0</v>
      </c>
      <c r="P21" s="242"/>
    </row>
    <row r="22" spans="2:16" ht="12.5">
      <c r="B22" s="160" t="str">
        <f t="shared" si="7"/>
        <v/>
      </c>
      <c r="C22" s="472">
        <f>IF(D11="","-",+C21+1)</f>
        <v>2022</v>
      </c>
      <c r="D22" s="584">
        <v>300079.34925449785</v>
      </c>
      <c r="E22" s="585">
        <v>7877.9047619047615</v>
      </c>
      <c r="F22" s="584">
        <v>292201.44449259312</v>
      </c>
      <c r="G22" s="585">
        <v>39805.169882695685</v>
      </c>
      <c r="H22" s="587">
        <v>39805.169882695685</v>
      </c>
      <c r="I22" s="475">
        <f t="shared" si="0"/>
        <v>0</v>
      </c>
      <c r="J22" s="475"/>
      <c r="K22" s="478">
        <f t="shared" si="1"/>
        <v>39805.169882695685</v>
      </c>
      <c r="L22" s="478">
        <f t="shared" ref="L22" si="10">IF(K22&lt;&gt;0,+G22-K22,0)</f>
        <v>0</v>
      </c>
      <c r="M22" s="478">
        <f t="shared" si="3"/>
        <v>39805.169882695685</v>
      </c>
      <c r="N22" s="478">
        <f t="shared" si="4"/>
        <v>0</v>
      </c>
      <c r="O22" s="478">
        <f t="shared" si="5"/>
        <v>0</v>
      </c>
      <c r="P22" s="242"/>
    </row>
    <row r="23" spans="2:16" ht="12.5">
      <c r="B23" s="160" t="str">
        <f t="shared" si="7"/>
        <v>IU</v>
      </c>
      <c r="C23" s="472">
        <f>IF(D11="","-",+C22+1)</f>
        <v>2023</v>
      </c>
      <c r="D23" s="483">
        <f>IF(F22+SUM(E$17:E22)=D$10,F22,D$10-SUM(E$17:E22))</f>
        <v>292201.8044925931</v>
      </c>
      <c r="E23" s="484">
        <f t="shared" ref="E23:E72" si="11">IF(+I$14&lt;F22,I$14,D23)</f>
        <v>8483.9066666666658</v>
      </c>
      <c r="F23" s="485">
        <f t="shared" ref="F23:F72" si="12">+D23-E23</f>
        <v>283717.89782592643</v>
      </c>
      <c r="G23" s="486">
        <f t="shared" ref="G23:G72" si="13">(D23+F23)/2*I$12+E23</f>
        <v>42854.492332323091</v>
      </c>
      <c r="H23" s="455">
        <f t="shared" ref="H23:H72" si="14">+(D23+F23)/2*I$13+E23</f>
        <v>42854.492332323091</v>
      </c>
      <c r="I23" s="475">
        <f t="shared" si="0"/>
        <v>0</v>
      </c>
      <c r="J23" s="475"/>
      <c r="K23" s="487"/>
      <c r="L23" s="478">
        <f t="shared" si="2"/>
        <v>0</v>
      </c>
      <c r="M23" s="487"/>
      <c r="N23" s="478">
        <f t="shared" si="4"/>
        <v>0</v>
      </c>
      <c r="O23" s="478">
        <f t="shared" si="5"/>
        <v>0</v>
      </c>
      <c r="P23" s="242"/>
    </row>
    <row r="24" spans="2:16" ht="12.5">
      <c r="B24" s="160" t="str">
        <f t="shared" si="7"/>
        <v/>
      </c>
      <c r="C24" s="472">
        <f>IF(D11="","-",+C23+1)</f>
        <v>2024</v>
      </c>
      <c r="D24" s="483">
        <f>IF(F23+SUM(E$17:E23)=D$10,F23,D$10-SUM(E$17:E23))</f>
        <v>283717.89782592643</v>
      </c>
      <c r="E24" s="484">
        <f t="shared" si="11"/>
        <v>8483.9066666666658</v>
      </c>
      <c r="F24" s="485">
        <f t="shared" si="12"/>
        <v>275233.99115925975</v>
      </c>
      <c r="G24" s="486">
        <f t="shared" si="13"/>
        <v>41841.862135119562</v>
      </c>
      <c r="H24" s="455">
        <f t="shared" si="14"/>
        <v>41841.862135119562</v>
      </c>
      <c r="I24" s="475">
        <f t="shared" si="0"/>
        <v>0</v>
      </c>
      <c r="J24" s="475"/>
      <c r="K24" s="487"/>
      <c r="L24" s="478">
        <f t="shared" si="2"/>
        <v>0</v>
      </c>
      <c r="M24" s="487"/>
      <c r="N24" s="478">
        <f t="shared" si="4"/>
        <v>0</v>
      </c>
      <c r="O24" s="478">
        <f t="shared" si="5"/>
        <v>0</v>
      </c>
      <c r="P24" s="242"/>
    </row>
    <row r="25" spans="2:16" ht="12.5">
      <c r="B25" s="160" t="str">
        <f t="shared" si="7"/>
        <v/>
      </c>
      <c r="C25" s="472">
        <f>IF(D11="","-",+C24+1)</f>
        <v>2025</v>
      </c>
      <c r="D25" s="483">
        <f>IF(F24+SUM(E$17:E24)=D$10,F24,D$10-SUM(E$17:E24))</f>
        <v>275233.99115925975</v>
      </c>
      <c r="E25" s="484">
        <f t="shared" si="11"/>
        <v>8483.9066666666658</v>
      </c>
      <c r="F25" s="485">
        <f t="shared" si="12"/>
        <v>266750.08449259307</v>
      </c>
      <c r="G25" s="486">
        <f t="shared" si="13"/>
        <v>40829.231937916033</v>
      </c>
      <c r="H25" s="455">
        <f t="shared" si="14"/>
        <v>40829.231937916033</v>
      </c>
      <c r="I25" s="475">
        <f t="shared" si="0"/>
        <v>0</v>
      </c>
      <c r="J25" s="475"/>
      <c r="K25" s="487"/>
      <c r="L25" s="478">
        <f t="shared" si="2"/>
        <v>0</v>
      </c>
      <c r="M25" s="487"/>
      <c r="N25" s="478">
        <f t="shared" si="4"/>
        <v>0</v>
      </c>
      <c r="O25" s="478">
        <f t="shared" si="5"/>
        <v>0</v>
      </c>
      <c r="P25" s="242"/>
    </row>
    <row r="26" spans="2:16" ht="12.5">
      <c r="B26" s="160" t="str">
        <f t="shared" si="7"/>
        <v/>
      </c>
      <c r="C26" s="472">
        <f>IF(D11="","-",+C25+1)</f>
        <v>2026</v>
      </c>
      <c r="D26" s="483">
        <f>IF(F25+SUM(E$17:E25)=D$10,F25,D$10-SUM(E$17:E25))</f>
        <v>266750.08449259307</v>
      </c>
      <c r="E26" s="484">
        <f t="shared" si="11"/>
        <v>8483.9066666666658</v>
      </c>
      <c r="F26" s="485">
        <f t="shared" si="12"/>
        <v>258266.1778259264</v>
      </c>
      <c r="G26" s="486">
        <f t="shared" si="13"/>
        <v>39816.601740712496</v>
      </c>
      <c r="H26" s="455">
        <f t="shared" si="14"/>
        <v>39816.601740712496</v>
      </c>
      <c r="I26" s="475">
        <f t="shared" si="0"/>
        <v>0</v>
      </c>
      <c r="J26" s="475"/>
      <c r="K26" s="487"/>
      <c r="L26" s="478">
        <f t="shared" si="2"/>
        <v>0</v>
      </c>
      <c r="M26" s="487"/>
      <c r="N26" s="478">
        <f t="shared" si="4"/>
        <v>0</v>
      </c>
      <c r="O26" s="478">
        <f t="shared" si="5"/>
        <v>0</v>
      </c>
      <c r="P26" s="242"/>
    </row>
    <row r="27" spans="2:16" ht="12.5">
      <c r="B27" s="160" t="str">
        <f t="shared" si="7"/>
        <v/>
      </c>
      <c r="C27" s="472">
        <f>IF(D11="","-",+C26+1)</f>
        <v>2027</v>
      </c>
      <c r="D27" s="483">
        <f>IF(F26+SUM(E$17:E26)=D$10,F26,D$10-SUM(E$17:E26))</f>
        <v>258266.1778259264</v>
      </c>
      <c r="E27" s="484">
        <f t="shared" si="11"/>
        <v>8483.9066666666658</v>
      </c>
      <c r="F27" s="485">
        <f t="shared" si="12"/>
        <v>249782.27115925972</v>
      </c>
      <c r="G27" s="486">
        <f t="shared" si="13"/>
        <v>38803.971543508967</v>
      </c>
      <c r="H27" s="455">
        <f t="shared" si="14"/>
        <v>38803.971543508967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2"/>
    </row>
    <row r="28" spans="2:16" ht="12.5">
      <c r="B28" s="160" t="str">
        <f t="shared" si="7"/>
        <v/>
      </c>
      <c r="C28" s="472">
        <f>IF(D11="","-",+C27+1)</f>
        <v>2028</v>
      </c>
      <c r="D28" s="483">
        <f>IF(F27+SUM(E$17:E27)=D$10,F27,D$10-SUM(E$17:E27))</f>
        <v>249782.27115925972</v>
      </c>
      <c r="E28" s="484">
        <f t="shared" si="11"/>
        <v>8483.9066666666658</v>
      </c>
      <c r="F28" s="485">
        <f t="shared" si="12"/>
        <v>241298.36449259304</v>
      </c>
      <c r="G28" s="486">
        <f t="shared" si="13"/>
        <v>37791.341346305431</v>
      </c>
      <c r="H28" s="455">
        <f t="shared" si="14"/>
        <v>37791.341346305431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 ht="12.5">
      <c r="B29" s="160" t="str">
        <f t="shared" si="7"/>
        <v/>
      </c>
      <c r="C29" s="472">
        <f>IF(D11="","-",+C28+1)</f>
        <v>2029</v>
      </c>
      <c r="D29" s="483">
        <f>IF(F28+SUM(E$17:E28)=D$10,F28,D$10-SUM(E$17:E28))</f>
        <v>241298.36449259304</v>
      </c>
      <c r="E29" s="484">
        <f t="shared" si="11"/>
        <v>8483.9066666666658</v>
      </c>
      <c r="F29" s="485">
        <f t="shared" si="12"/>
        <v>232814.45782592637</v>
      </c>
      <c r="G29" s="486">
        <f t="shared" si="13"/>
        <v>36778.711149101902</v>
      </c>
      <c r="H29" s="455">
        <f t="shared" si="14"/>
        <v>36778.711149101902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 ht="12.5">
      <c r="B30" s="160" t="str">
        <f t="shared" si="7"/>
        <v/>
      </c>
      <c r="C30" s="472">
        <f>IF(D11="","-",+C29+1)</f>
        <v>2030</v>
      </c>
      <c r="D30" s="483">
        <f>IF(F29+SUM(E$17:E29)=D$10,F29,D$10-SUM(E$17:E29))</f>
        <v>232814.45782592637</v>
      </c>
      <c r="E30" s="484">
        <f t="shared" si="11"/>
        <v>8483.9066666666658</v>
      </c>
      <c r="F30" s="485">
        <f t="shared" si="12"/>
        <v>224330.55115925969</v>
      </c>
      <c r="G30" s="486">
        <f t="shared" si="13"/>
        <v>35766.080951898373</v>
      </c>
      <c r="H30" s="455">
        <f t="shared" si="14"/>
        <v>35766.080951898373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 ht="12.5">
      <c r="B31" s="160" t="str">
        <f t="shared" si="7"/>
        <v/>
      </c>
      <c r="C31" s="472">
        <f>IF(D11="","-",+C30+1)</f>
        <v>2031</v>
      </c>
      <c r="D31" s="483">
        <f>IF(F30+SUM(E$17:E30)=D$10,F30,D$10-SUM(E$17:E30))</f>
        <v>224330.55115925969</v>
      </c>
      <c r="E31" s="484">
        <f t="shared" si="11"/>
        <v>8483.9066666666658</v>
      </c>
      <c r="F31" s="485">
        <f t="shared" si="12"/>
        <v>215846.64449259301</v>
      </c>
      <c r="G31" s="486">
        <f t="shared" si="13"/>
        <v>34753.450754694844</v>
      </c>
      <c r="H31" s="455">
        <f t="shared" si="14"/>
        <v>34753.450754694844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 ht="12.5">
      <c r="B32" s="160" t="str">
        <f t="shared" si="7"/>
        <v/>
      </c>
      <c r="C32" s="472">
        <f>IF(D11="","-",+C31+1)</f>
        <v>2032</v>
      </c>
      <c r="D32" s="483">
        <f>IF(F31+SUM(E$17:E31)=D$10,F31,D$10-SUM(E$17:E31))</f>
        <v>215846.64449259301</v>
      </c>
      <c r="E32" s="484">
        <f t="shared" si="11"/>
        <v>8483.9066666666658</v>
      </c>
      <c r="F32" s="485">
        <f t="shared" si="12"/>
        <v>207362.73782592634</v>
      </c>
      <c r="G32" s="486">
        <f t="shared" si="13"/>
        <v>33740.820557491315</v>
      </c>
      <c r="H32" s="455">
        <f t="shared" si="14"/>
        <v>33740.820557491315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 ht="12.5">
      <c r="B33" s="160" t="str">
        <f t="shared" si="7"/>
        <v/>
      </c>
      <c r="C33" s="472">
        <f>IF(D11="","-",+C32+1)</f>
        <v>2033</v>
      </c>
      <c r="D33" s="483">
        <f>IF(F32+SUM(E$17:E32)=D$10,F32,D$10-SUM(E$17:E32))</f>
        <v>207362.73782592634</v>
      </c>
      <c r="E33" s="484">
        <f t="shared" si="11"/>
        <v>8483.9066666666658</v>
      </c>
      <c r="F33" s="485">
        <f t="shared" si="12"/>
        <v>198878.83115925966</v>
      </c>
      <c r="G33" s="486">
        <f t="shared" si="13"/>
        <v>32728.190360287783</v>
      </c>
      <c r="H33" s="455">
        <f t="shared" si="14"/>
        <v>32728.190360287783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 ht="12.5">
      <c r="B34" s="160" t="str">
        <f t="shared" si="7"/>
        <v/>
      </c>
      <c r="C34" s="472">
        <f>IF(D11="","-",+C33+1)</f>
        <v>2034</v>
      </c>
      <c r="D34" s="483">
        <f>IF(F33+SUM(E$17:E33)=D$10,F33,D$10-SUM(E$17:E33))</f>
        <v>198878.83115925966</v>
      </c>
      <c r="E34" s="484">
        <f t="shared" si="11"/>
        <v>8483.9066666666658</v>
      </c>
      <c r="F34" s="485">
        <f t="shared" si="12"/>
        <v>190394.92449259298</v>
      </c>
      <c r="G34" s="486">
        <f t="shared" si="13"/>
        <v>31715.56016308425</v>
      </c>
      <c r="H34" s="455">
        <f t="shared" si="14"/>
        <v>31715.56016308425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 ht="12.5">
      <c r="B35" s="160" t="str">
        <f t="shared" si="7"/>
        <v/>
      </c>
      <c r="C35" s="472">
        <f>IF(D11="","-",+C34+1)</f>
        <v>2035</v>
      </c>
      <c r="D35" s="483">
        <f>IF(F34+SUM(E$17:E34)=D$10,F34,D$10-SUM(E$17:E34))</f>
        <v>190394.92449259298</v>
      </c>
      <c r="E35" s="484">
        <f t="shared" si="11"/>
        <v>8483.9066666666658</v>
      </c>
      <c r="F35" s="485">
        <f t="shared" si="12"/>
        <v>181911.0178259263</v>
      </c>
      <c r="G35" s="486">
        <f t="shared" si="13"/>
        <v>30702.929965880718</v>
      </c>
      <c r="H35" s="455">
        <f t="shared" si="14"/>
        <v>30702.929965880718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 ht="12.5">
      <c r="B36" s="160" t="str">
        <f t="shared" si="7"/>
        <v/>
      </c>
      <c r="C36" s="472">
        <f>IF(D11="","-",+C35+1)</f>
        <v>2036</v>
      </c>
      <c r="D36" s="483">
        <f>IF(F35+SUM(E$17:E35)=D$10,F35,D$10-SUM(E$17:E35))</f>
        <v>181911.0178259263</v>
      </c>
      <c r="E36" s="484">
        <f t="shared" si="11"/>
        <v>8483.9066666666658</v>
      </c>
      <c r="F36" s="485">
        <f t="shared" si="12"/>
        <v>173427.11115925963</v>
      </c>
      <c r="G36" s="486">
        <f t="shared" si="13"/>
        <v>29690.299768677189</v>
      </c>
      <c r="H36" s="455">
        <f t="shared" si="14"/>
        <v>29690.299768677189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 ht="12.5">
      <c r="B37" s="160" t="str">
        <f t="shared" si="7"/>
        <v/>
      </c>
      <c r="C37" s="472">
        <f>IF(D11="","-",+C36+1)</f>
        <v>2037</v>
      </c>
      <c r="D37" s="483">
        <f>IF(F36+SUM(E$17:E36)=D$10,F36,D$10-SUM(E$17:E36))</f>
        <v>173427.11115925963</v>
      </c>
      <c r="E37" s="484">
        <f t="shared" si="11"/>
        <v>8483.9066666666658</v>
      </c>
      <c r="F37" s="485">
        <f t="shared" si="12"/>
        <v>164943.20449259295</v>
      </c>
      <c r="G37" s="486">
        <f t="shared" si="13"/>
        <v>28677.669571473656</v>
      </c>
      <c r="H37" s="455">
        <f t="shared" si="14"/>
        <v>28677.669571473656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 ht="12.5">
      <c r="B38" s="160" t="str">
        <f t="shared" si="7"/>
        <v/>
      </c>
      <c r="C38" s="472">
        <f>IF(D11="","-",+C37+1)</f>
        <v>2038</v>
      </c>
      <c r="D38" s="483">
        <f>IF(F37+SUM(E$17:E37)=D$10,F37,D$10-SUM(E$17:E37))</f>
        <v>164943.20449259295</v>
      </c>
      <c r="E38" s="484">
        <f t="shared" si="11"/>
        <v>8483.9066666666658</v>
      </c>
      <c r="F38" s="485">
        <f t="shared" si="12"/>
        <v>156459.29782592627</v>
      </c>
      <c r="G38" s="486">
        <f t="shared" si="13"/>
        <v>27665.039374270127</v>
      </c>
      <c r="H38" s="455">
        <f t="shared" si="14"/>
        <v>27665.039374270127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 ht="12.5">
      <c r="B39" s="160" t="str">
        <f t="shared" si="7"/>
        <v/>
      </c>
      <c r="C39" s="472">
        <f>IF(D11="","-",+C38+1)</f>
        <v>2039</v>
      </c>
      <c r="D39" s="483">
        <f>IF(F38+SUM(E$17:E38)=D$10,F38,D$10-SUM(E$17:E38))</f>
        <v>156459.29782592627</v>
      </c>
      <c r="E39" s="484">
        <f t="shared" si="11"/>
        <v>8483.9066666666658</v>
      </c>
      <c r="F39" s="485">
        <f t="shared" si="12"/>
        <v>147975.3911592596</v>
      </c>
      <c r="G39" s="486">
        <f t="shared" si="13"/>
        <v>26652.409177066595</v>
      </c>
      <c r="H39" s="455">
        <f t="shared" si="14"/>
        <v>26652.409177066595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 ht="12.5">
      <c r="B40" s="160" t="str">
        <f t="shared" si="7"/>
        <v/>
      </c>
      <c r="C40" s="472">
        <f>IF(D11="","-",+C39+1)</f>
        <v>2040</v>
      </c>
      <c r="D40" s="483">
        <f>IF(F39+SUM(E$17:E39)=D$10,F39,D$10-SUM(E$17:E39))</f>
        <v>147975.3911592596</v>
      </c>
      <c r="E40" s="484">
        <f t="shared" si="11"/>
        <v>8483.9066666666658</v>
      </c>
      <c r="F40" s="485">
        <f t="shared" si="12"/>
        <v>139491.48449259292</v>
      </c>
      <c r="G40" s="486">
        <f t="shared" si="13"/>
        <v>25639.778979863062</v>
      </c>
      <c r="H40" s="455">
        <f t="shared" si="14"/>
        <v>25639.778979863062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 ht="12.5">
      <c r="B41" s="160" t="str">
        <f t="shared" si="7"/>
        <v/>
      </c>
      <c r="C41" s="472">
        <f>IF(D11="","-",+C40+1)</f>
        <v>2041</v>
      </c>
      <c r="D41" s="483">
        <f>IF(F40+SUM(E$17:E40)=D$10,F40,D$10-SUM(E$17:E40))</f>
        <v>139491.48449259292</v>
      </c>
      <c r="E41" s="484">
        <f t="shared" si="11"/>
        <v>8483.9066666666658</v>
      </c>
      <c r="F41" s="485">
        <f t="shared" si="12"/>
        <v>131007.57782592626</v>
      </c>
      <c r="G41" s="486">
        <f t="shared" si="13"/>
        <v>24627.148782659533</v>
      </c>
      <c r="H41" s="455">
        <f t="shared" si="14"/>
        <v>24627.148782659533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 ht="12.5">
      <c r="B42" s="160" t="str">
        <f t="shared" si="7"/>
        <v/>
      </c>
      <c r="C42" s="472">
        <f>IF(D11="","-",+C41+1)</f>
        <v>2042</v>
      </c>
      <c r="D42" s="483">
        <f>IF(F41+SUM(E$17:E41)=D$10,F41,D$10-SUM(E$17:E41))</f>
        <v>131007.57782592626</v>
      </c>
      <c r="E42" s="484">
        <f t="shared" si="11"/>
        <v>8483.9066666666658</v>
      </c>
      <c r="F42" s="485">
        <f t="shared" si="12"/>
        <v>122523.6711592596</v>
      </c>
      <c r="G42" s="486">
        <f t="shared" si="13"/>
        <v>23614.518585456004</v>
      </c>
      <c r="H42" s="455">
        <f t="shared" si="14"/>
        <v>23614.518585456004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 ht="12.5">
      <c r="B43" s="160" t="str">
        <f t="shared" si="7"/>
        <v/>
      </c>
      <c r="C43" s="472">
        <f>IF(D11="","-",+C42+1)</f>
        <v>2043</v>
      </c>
      <c r="D43" s="483">
        <f>IF(F42+SUM(E$17:E42)=D$10,F42,D$10-SUM(E$17:E42))</f>
        <v>122523.6711592596</v>
      </c>
      <c r="E43" s="484">
        <f t="shared" si="11"/>
        <v>8483.9066666666658</v>
      </c>
      <c r="F43" s="485">
        <f t="shared" si="12"/>
        <v>114039.76449259293</v>
      </c>
      <c r="G43" s="486">
        <f t="shared" si="13"/>
        <v>22601.888388252475</v>
      </c>
      <c r="H43" s="455">
        <f t="shared" si="14"/>
        <v>22601.888388252475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 ht="12.5">
      <c r="B44" s="160" t="str">
        <f t="shared" si="7"/>
        <v/>
      </c>
      <c r="C44" s="472">
        <f>IF(D11="","-",+C43+1)</f>
        <v>2044</v>
      </c>
      <c r="D44" s="483">
        <f>IF(F43+SUM(E$17:E43)=D$10,F43,D$10-SUM(E$17:E43))</f>
        <v>114039.76449259293</v>
      </c>
      <c r="E44" s="484">
        <f t="shared" si="11"/>
        <v>8483.9066666666658</v>
      </c>
      <c r="F44" s="485">
        <f t="shared" si="12"/>
        <v>105555.85782592627</v>
      </c>
      <c r="G44" s="486">
        <f t="shared" si="13"/>
        <v>21589.258191048946</v>
      </c>
      <c r="H44" s="455">
        <f t="shared" si="14"/>
        <v>21589.258191048946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 ht="12.5">
      <c r="B45" s="160" t="str">
        <f t="shared" si="7"/>
        <v/>
      </c>
      <c r="C45" s="472">
        <f>IF(D11="","-",+C44+1)</f>
        <v>2045</v>
      </c>
      <c r="D45" s="483">
        <f>IF(F44+SUM(E$17:E44)=D$10,F44,D$10-SUM(E$17:E44))</f>
        <v>105555.85782592627</v>
      </c>
      <c r="E45" s="484">
        <f t="shared" si="11"/>
        <v>8483.9066666666658</v>
      </c>
      <c r="F45" s="485">
        <f t="shared" si="12"/>
        <v>97071.95115925961</v>
      </c>
      <c r="G45" s="486">
        <f t="shared" si="13"/>
        <v>20576.627993845417</v>
      </c>
      <c r="H45" s="455">
        <f t="shared" si="14"/>
        <v>20576.627993845417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 ht="12.5">
      <c r="B46" s="160" t="str">
        <f t="shared" si="7"/>
        <v/>
      </c>
      <c r="C46" s="472">
        <f>IF(D11="","-",+C45+1)</f>
        <v>2046</v>
      </c>
      <c r="D46" s="483">
        <f>IF(F45+SUM(E$17:E45)=D$10,F45,D$10-SUM(E$17:E45))</f>
        <v>97071.95115925961</v>
      </c>
      <c r="E46" s="484">
        <f t="shared" si="11"/>
        <v>8483.9066666666658</v>
      </c>
      <c r="F46" s="485">
        <f t="shared" si="12"/>
        <v>88588.044492592948</v>
      </c>
      <c r="G46" s="486">
        <f t="shared" si="13"/>
        <v>19563.997796641888</v>
      </c>
      <c r="H46" s="455">
        <f t="shared" si="14"/>
        <v>19563.997796641888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 ht="12.5">
      <c r="B47" s="160" t="str">
        <f t="shared" si="7"/>
        <v/>
      </c>
      <c r="C47" s="472">
        <f>IF(D11="","-",+C46+1)</f>
        <v>2047</v>
      </c>
      <c r="D47" s="483">
        <f>IF(F46+SUM(E$17:E46)=D$10,F46,D$10-SUM(E$17:E46))</f>
        <v>88588.044492592948</v>
      </c>
      <c r="E47" s="484">
        <f t="shared" si="11"/>
        <v>8483.9066666666658</v>
      </c>
      <c r="F47" s="485">
        <f t="shared" si="12"/>
        <v>80104.137825926286</v>
      </c>
      <c r="G47" s="486">
        <f t="shared" si="13"/>
        <v>18551.367599438356</v>
      </c>
      <c r="H47" s="455">
        <f t="shared" si="14"/>
        <v>18551.367599438356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 ht="12.5">
      <c r="B48" s="160" t="str">
        <f t="shared" si="7"/>
        <v/>
      </c>
      <c r="C48" s="472">
        <f>IF(D11="","-",+C47+1)</f>
        <v>2048</v>
      </c>
      <c r="D48" s="483">
        <f>IF(F47+SUM(E$17:E47)=D$10,F47,D$10-SUM(E$17:E47))</f>
        <v>80104.137825926286</v>
      </c>
      <c r="E48" s="484">
        <f t="shared" si="11"/>
        <v>8483.9066666666658</v>
      </c>
      <c r="F48" s="485">
        <f t="shared" si="12"/>
        <v>71620.231159259623</v>
      </c>
      <c r="G48" s="486">
        <f t="shared" si="13"/>
        <v>17538.73740223483</v>
      </c>
      <c r="H48" s="455">
        <f t="shared" si="14"/>
        <v>17538.73740223483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 ht="12.5">
      <c r="B49" s="160" t="str">
        <f t="shared" si="7"/>
        <v/>
      </c>
      <c r="C49" s="472">
        <f>IF(D11="","-",+C48+1)</f>
        <v>2049</v>
      </c>
      <c r="D49" s="483">
        <f>IF(F48+SUM(E$17:E48)=D$10,F48,D$10-SUM(E$17:E48))</f>
        <v>71620.231159259623</v>
      </c>
      <c r="E49" s="484">
        <f t="shared" si="11"/>
        <v>8483.9066666666658</v>
      </c>
      <c r="F49" s="485">
        <f t="shared" si="12"/>
        <v>63136.324492592961</v>
      </c>
      <c r="G49" s="486">
        <f t="shared" si="13"/>
        <v>16526.107205031298</v>
      </c>
      <c r="H49" s="455">
        <f t="shared" si="14"/>
        <v>16526.107205031298</v>
      </c>
      <c r="I49" s="475">
        <f t="shared" si="0"/>
        <v>0</v>
      </c>
      <c r="J49" s="475"/>
      <c r="K49" s="487"/>
      <c r="L49" s="478">
        <f t="shared" si="2"/>
        <v>0</v>
      </c>
      <c r="M49" s="487"/>
      <c r="N49" s="478">
        <f t="shared" si="4"/>
        <v>0</v>
      </c>
      <c r="O49" s="478">
        <f t="shared" si="5"/>
        <v>0</v>
      </c>
      <c r="P49" s="242"/>
    </row>
    <row r="50" spans="2:16" ht="12.5">
      <c r="B50" s="160" t="str">
        <f t="shared" si="7"/>
        <v/>
      </c>
      <c r="C50" s="472">
        <f>IF(D11="","-",+C49+1)</f>
        <v>2050</v>
      </c>
      <c r="D50" s="483">
        <f>IF(F49+SUM(E$17:E49)=D$10,F49,D$10-SUM(E$17:E49))</f>
        <v>63136.324492592961</v>
      </c>
      <c r="E50" s="484">
        <f t="shared" si="11"/>
        <v>8483.9066666666658</v>
      </c>
      <c r="F50" s="485">
        <f t="shared" si="12"/>
        <v>54652.417825926299</v>
      </c>
      <c r="G50" s="486">
        <f t="shared" si="13"/>
        <v>15513.477007827769</v>
      </c>
      <c r="H50" s="455">
        <f t="shared" si="14"/>
        <v>15513.477007827769</v>
      </c>
      <c r="I50" s="475">
        <f t="shared" si="0"/>
        <v>0</v>
      </c>
      <c r="J50" s="475"/>
      <c r="K50" s="487"/>
      <c r="L50" s="478">
        <f t="shared" si="2"/>
        <v>0</v>
      </c>
      <c r="M50" s="487"/>
      <c r="N50" s="478">
        <f t="shared" si="4"/>
        <v>0</v>
      </c>
      <c r="O50" s="478">
        <f t="shared" si="5"/>
        <v>0</v>
      </c>
      <c r="P50" s="242"/>
    </row>
    <row r="51" spans="2:16" ht="12.5">
      <c r="B51" s="160" t="str">
        <f t="shared" si="7"/>
        <v/>
      </c>
      <c r="C51" s="472">
        <f>IF(D11="","-",+C50+1)</f>
        <v>2051</v>
      </c>
      <c r="D51" s="483">
        <f>IF(F50+SUM(E$17:E50)=D$10,F50,D$10-SUM(E$17:E50))</f>
        <v>54652.417825926299</v>
      </c>
      <c r="E51" s="484">
        <f t="shared" si="11"/>
        <v>8483.9066666666658</v>
      </c>
      <c r="F51" s="485">
        <f t="shared" si="12"/>
        <v>46168.511159259637</v>
      </c>
      <c r="G51" s="486">
        <f t="shared" si="13"/>
        <v>14500.84681062424</v>
      </c>
      <c r="H51" s="455">
        <f t="shared" si="14"/>
        <v>14500.84681062424</v>
      </c>
      <c r="I51" s="475">
        <f t="shared" si="0"/>
        <v>0</v>
      </c>
      <c r="J51" s="475"/>
      <c r="K51" s="487"/>
      <c r="L51" s="478">
        <f t="shared" si="2"/>
        <v>0</v>
      </c>
      <c r="M51" s="487"/>
      <c r="N51" s="478">
        <f t="shared" si="4"/>
        <v>0</v>
      </c>
      <c r="O51" s="478">
        <f t="shared" si="5"/>
        <v>0</v>
      </c>
      <c r="P51" s="242"/>
    </row>
    <row r="52" spans="2:16" ht="12.5">
      <c r="B52" s="160" t="str">
        <f t="shared" si="7"/>
        <v/>
      </c>
      <c r="C52" s="472">
        <f>IF(D11="","-",+C51+1)</f>
        <v>2052</v>
      </c>
      <c r="D52" s="483">
        <f>IF(F51+SUM(E$17:E51)=D$10,F51,D$10-SUM(E$17:E51))</f>
        <v>46168.511159259637</v>
      </c>
      <c r="E52" s="484">
        <f t="shared" si="11"/>
        <v>8483.9066666666658</v>
      </c>
      <c r="F52" s="485">
        <f t="shared" si="12"/>
        <v>37684.604492592975</v>
      </c>
      <c r="G52" s="486">
        <f t="shared" si="13"/>
        <v>13488.216613420711</v>
      </c>
      <c r="H52" s="455">
        <f t="shared" si="14"/>
        <v>13488.216613420711</v>
      </c>
      <c r="I52" s="475">
        <f t="shared" si="0"/>
        <v>0</v>
      </c>
      <c r="J52" s="475"/>
      <c r="K52" s="487"/>
      <c r="L52" s="478">
        <f t="shared" si="2"/>
        <v>0</v>
      </c>
      <c r="M52" s="487"/>
      <c r="N52" s="478">
        <f t="shared" si="4"/>
        <v>0</v>
      </c>
      <c r="O52" s="478">
        <f t="shared" si="5"/>
        <v>0</v>
      </c>
      <c r="P52" s="242"/>
    </row>
    <row r="53" spans="2:16" ht="12.5">
      <c r="B53" s="160" t="str">
        <f t="shared" si="7"/>
        <v/>
      </c>
      <c r="C53" s="472">
        <f>IF(D11="","-",+C52+1)</f>
        <v>2053</v>
      </c>
      <c r="D53" s="483">
        <f>IF(F52+SUM(E$17:E52)=D$10,F52,D$10-SUM(E$17:E52))</f>
        <v>37684.604492592975</v>
      </c>
      <c r="E53" s="484">
        <f t="shared" si="11"/>
        <v>8483.9066666666658</v>
      </c>
      <c r="F53" s="485">
        <f t="shared" si="12"/>
        <v>29200.697825926309</v>
      </c>
      <c r="G53" s="486">
        <f t="shared" si="13"/>
        <v>12475.586416217182</v>
      </c>
      <c r="H53" s="455">
        <f t="shared" si="14"/>
        <v>12475.586416217182</v>
      </c>
      <c r="I53" s="475">
        <f t="shared" si="0"/>
        <v>0</v>
      </c>
      <c r="J53" s="475"/>
      <c r="K53" s="487"/>
      <c r="L53" s="478">
        <f t="shared" si="2"/>
        <v>0</v>
      </c>
      <c r="M53" s="487"/>
      <c r="N53" s="478">
        <f t="shared" si="4"/>
        <v>0</v>
      </c>
      <c r="O53" s="478">
        <f t="shared" si="5"/>
        <v>0</v>
      </c>
      <c r="P53" s="242"/>
    </row>
    <row r="54" spans="2:16" ht="12.5">
      <c r="B54" s="160" t="str">
        <f t="shared" si="7"/>
        <v/>
      </c>
      <c r="C54" s="472">
        <f>IF(D11="","-",+C53+1)</f>
        <v>2054</v>
      </c>
      <c r="D54" s="483">
        <f>IF(F53+SUM(E$17:E53)=D$10,F53,D$10-SUM(E$17:E53))</f>
        <v>29200.697825926309</v>
      </c>
      <c r="E54" s="484">
        <f t="shared" si="11"/>
        <v>8483.9066666666658</v>
      </c>
      <c r="F54" s="485">
        <f t="shared" si="12"/>
        <v>20716.791159259643</v>
      </c>
      <c r="G54" s="486">
        <f t="shared" si="13"/>
        <v>11462.956219013651</v>
      </c>
      <c r="H54" s="455">
        <f t="shared" si="14"/>
        <v>11462.956219013651</v>
      </c>
      <c r="I54" s="475">
        <f t="shared" si="0"/>
        <v>0</v>
      </c>
      <c r="J54" s="475"/>
      <c r="K54" s="487"/>
      <c r="L54" s="478">
        <f t="shared" si="2"/>
        <v>0</v>
      </c>
      <c r="M54" s="487"/>
      <c r="N54" s="478">
        <f t="shared" si="4"/>
        <v>0</v>
      </c>
      <c r="O54" s="478">
        <f t="shared" si="5"/>
        <v>0</v>
      </c>
      <c r="P54" s="242"/>
    </row>
    <row r="55" spans="2:16" ht="12.5">
      <c r="B55" s="160" t="str">
        <f t="shared" si="7"/>
        <v/>
      </c>
      <c r="C55" s="472">
        <f>IF(D11="","-",+C54+1)</f>
        <v>2055</v>
      </c>
      <c r="D55" s="483">
        <f>IF(F54+SUM(E$17:E54)=D$10,F54,D$10-SUM(E$17:E54))</f>
        <v>20716.791159259643</v>
      </c>
      <c r="E55" s="484">
        <f t="shared" si="11"/>
        <v>8483.9066666666658</v>
      </c>
      <c r="F55" s="485">
        <f t="shared" si="12"/>
        <v>12232.884492592977</v>
      </c>
      <c r="G55" s="486">
        <f t="shared" si="13"/>
        <v>10450.326021810122</v>
      </c>
      <c r="H55" s="455">
        <f t="shared" si="14"/>
        <v>10450.326021810122</v>
      </c>
      <c r="I55" s="475">
        <f t="shared" si="0"/>
        <v>0</v>
      </c>
      <c r="J55" s="475"/>
      <c r="K55" s="487"/>
      <c r="L55" s="478">
        <f t="shared" si="2"/>
        <v>0</v>
      </c>
      <c r="M55" s="487"/>
      <c r="N55" s="478">
        <f t="shared" si="4"/>
        <v>0</v>
      </c>
      <c r="O55" s="478">
        <f t="shared" si="5"/>
        <v>0</v>
      </c>
      <c r="P55" s="242"/>
    </row>
    <row r="56" spans="2:16" ht="12.5">
      <c r="B56" s="160" t="str">
        <f t="shared" si="7"/>
        <v/>
      </c>
      <c r="C56" s="472">
        <f>IF(D11="","-",+C55+1)</f>
        <v>2056</v>
      </c>
      <c r="D56" s="483">
        <f>IF(F55+SUM(E$17:E55)=D$10,F55,D$10-SUM(E$17:E55))</f>
        <v>12232.884492592977</v>
      </c>
      <c r="E56" s="484">
        <f t="shared" si="11"/>
        <v>8483.9066666666658</v>
      </c>
      <c r="F56" s="485">
        <f t="shared" si="12"/>
        <v>3748.9778259263112</v>
      </c>
      <c r="G56" s="486">
        <f t="shared" si="13"/>
        <v>9437.6958246065915</v>
      </c>
      <c r="H56" s="455">
        <f t="shared" si="14"/>
        <v>9437.6958246065915</v>
      </c>
      <c r="I56" s="475">
        <f t="shared" si="0"/>
        <v>0</v>
      </c>
      <c r="J56" s="475"/>
      <c r="K56" s="487"/>
      <c r="L56" s="478">
        <f t="shared" si="2"/>
        <v>0</v>
      </c>
      <c r="M56" s="487"/>
      <c r="N56" s="478">
        <f t="shared" si="4"/>
        <v>0</v>
      </c>
      <c r="O56" s="478">
        <f t="shared" si="5"/>
        <v>0</v>
      </c>
      <c r="P56" s="242"/>
    </row>
    <row r="57" spans="2:16" ht="12.5">
      <c r="B57" s="160" t="str">
        <f t="shared" si="7"/>
        <v/>
      </c>
      <c r="C57" s="472">
        <f>IF(D11="","-",+C56+1)</f>
        <v>2057</v>
      </c>
      <c r="D57" s="483">
        <f>IF(F56+SUM(E$17:E56)=D$10,F56,D$10-SUM(E$17:E56))</f>
        <v>3748.9778259263112</v>
      </c>
      <c r="E57" s="484">
        <f t="shared" si="11"/>
        <v>3748.9778259263112</v>
      </c>
      <c r="F57" s="485">
        <f t="shared" si="12"/>
        <v>0</v>
      </c>
      <c r="G57" s="486">
        <f t="shared" si="13"/>
        <v>3972.7148555953918</v>
      </c>
      <c r="H57" s="455">
        <f t="shared" si="14"/>
        <v>3972.7148555953918</v>
      </c>
      <c r="I57" s="475">
        <f t="shared" si="0"/>
        <v>0</v>
      </c>
      <c r="J57" s="475"/>
      <c r="K57" s="487"/>
      <c r="L57" s="478">
        <f t="shared" si="2"/>
        <v>0</v>
      </c>
      <c r="M57" s="487"/>
      <c r="N57" s="478">
        <f t="shared" si="4"/>
        <v>0</v>
      </c>
      <c r="O57" s="478">
        <f t="shared" si="5"/>
        <v>0</v>
      </c>
      <c r="P57" s="242"/>
    </row>
    <row r="58" spans="2:16" ht="12.5">
      <c r="B58" s="160" t="str">
        <f t="shared" si="7"/>
        <v/>
      </c>
      <c r="C58" s="472">
        <f>IF(D11="","-",+C57+1)</f>
        <v>2058</v>
      </c>
      <c r="D58" s="483">
        <f>IF(F57+SUM(E$17:E57)=D$10,F57,D$10-SUM(E$17:E57))</f>
        <v>0</v>
      </c>
      <c r="E58" s="484">
        <f t="shared" si="11"/>
        <v>0</v>
      </c>
      <c r="F58" s="485">
        <f t="shared" si="12"/>
        <v>0</v>
      </c>
      <c r="G58" s="486">
        <f t="shared" si="13"/>
        <v>0</v>
      </c>
      <c r="H58" s="455">
        <f t="shared" si="14"/>
        <v>0</v>
      </c>
      <c r="I58" s="475">
        <f t="shared" si="0"/>
        <v>0</v>
      </c>
      <c r="J58" s="475"/>
      <c r="K58" s="487"/>
      <c r="L58" s="478">
        <f t="shared" si="2"/>
        <v>0</v>
      </c>
      <c r="M58" s="487"/>
      <c r="N58" s="478">
        <f t="shared" si="4"/>
        <v>0</v>
      </c>
      <c r="O58" s="478">
        <f t="shared" si="5"/>
        <v>0</v>
      </c>
      <c r="P58" s="242"/>
    </row>
    <row r="59" spans="2:16" ht="12.5">
      <c r="B59" s="160" t="str">
        <f t="shared" si="7"/>
        <v/>
      </c>
      <c r="C59" s="472">
        <f>IF(D11="","-",+C58+1)</f>
        <v>2059</v>
      </c>
      <c r="D59" s="483">
        <f>IF(F58+SUM(E$17:E58)=D$10,F58,D$10-SUM(E$17:E58))</f>
        <v>0</v>
      </c>
      <c r="E59" s="484">
        <f t="shared" si="11"/>
        <v>0</v>
      </c>
      <c r="F59" s="485">
        <f t="shared" si="12"/>
        <v>0</v>
      </c>
      <c r="G59" s="486">
        <f t="shared" si="13"/>
        <v>0</v>
      </c>
      <c r="H59" s="455">
        <f t="shared" si="14"/>
        <v>0</v>
      </c>
      <c r="I59" s="475">
        <f t="shared" si="0"/>
        <v>0</v>
      </c>
      <c r="J59" s="475"/>
      <c r="K59" s="487"/>
      <c r="L59" s="478">
        <f t="shared" si="2"/>
        <v>0</v>
      </c>
      <c r="M59" s="487"/>
      <c r="N59" s="478">
        <f t="shared" si="4"/>
        <v>0</v>
      </c>
      <c r="O59" s="478">
        <f t="shared" si="5"/>
        <v>0</v>
      </c>
      <c r="P59" s="242"/>
    </row>
    <row r="60" spans="2:16" ht="12.5">
      <c r="B60" s="160" t="str">
        <f t="shared" si="7"/>
        <v/>
      </c>
      <c r="C60" s="472">
        <f>IF(D11="","-",+C59+1)</f>
        <v>2060</v>
      </c>
      <c r="D60" s="483">
        <f>IF(F59+SUM(E$17:E59)=D$10,F59,D$10-SUM(E$17:E59))</f>
        <v>0</v>
      </c>
      <c r="E60" s="484">
        <f t="shared" si="11"/>
        <v>0</v>
      </c>
      <c r="F60" s="485">
        <f t="shared" si="12"/>
        <v>0</v>
      </c>
      <c r="G60" s="486">
        <f t="shared" si="13"/>
        <v>0</v>
      </c>
      <c r="H60" s="455">
        <f t="shared" si="14"/>
        <v>0</v>
      </c>
      <c r="I60" s="475">
        <f t="shared" si="0"/>
        <v>0</v>
      </c>
      <c r="J60" s="475"/>
      <c r="K60" s="487"/>
      <c r="L60" s="478">
        <f t="shared" si="2"/>
        <v>0</v>
      </c>
      <c r="M60" s="487"/>
      <c r="N60" s="478">
        <f t="shared" si="4"/>
        <v>0</v>
      </c>
      <c r="O60" s="478">
        <f t="shared" si="5"/>
        <v>0</v>
      </c>
      <c r="P60" s="242"/>
    </row>
    <row r="61" spans="2:16" ht="12.5">
      <c r="B61" s="160" t="str">
        <f t="shared" si="7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11"/>
        <v>0</v>
      </c>
      <c r="F61" s="485">
        <f t="shared" si="12"/>
        <v>0</v>
      </c>
      <c r="G61" s="486">
        <f t="shared" si="13"/>
        <v>0</v>
      </c>
      <c r="H61" s="455">
        <f t="shared" si="14"/>
        <v>0</v>
      </c>
      <c r="I61" s="475">
        <f t="shared" si="0"/>
        <v>0</v>
      </c>
      <c r="J61" s="475"/>
      <c r="K61" s="487"/>
      <c r="L61" s="478">
        <f t="shared" si="2"/>
        <v>0</v>
      </c>
      <c r="M61" s="487"/>
      <c r="N61" s="478">
        <f t="shared" si="4"/>
        <v>0</v>
      </c>
      <c r="O61" s="478">
        <f t="shared" si="5"/>
        <v>0</v>
      </c>
      <c r="P61" s="242"/>
    </row>
    <row r="62" spans="2:16" ht="12.5">
      <c r="B62" s="160" t="str">
        <f t="shared" si="7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11"/>
        <v>0</v>
      </c>
      <c r="F62" s="485">
        <f t="shared" si="12"/>
        <v>0</v>
      </c>
      <c r="G62" s="486">
        <f t="shared" si="13"/>
        <v>0</v>
      </c>
      <c r="H62" s="455">
        <f t="shared" si="14"/>
        <v>0</v>
      </c>
      <c r="I62" s="475">
        <f t="shared" si="0"/>
        <v>0</v>
      </c>
      <c r="J62" s="475"/>
      <c r="K62" s="487"/>
      <c r="L62" s="478">
        <f t="shared" si="2"/>
        <v>0</v>
      </c>
      <c r="M62" s="487"/>
      <c r="N62" s="478">
        <f t="shared" si="4"/>
        <v>0</v>
      </c>
      <c r="O62" s="478">
        <f t="shared" si="5"/>
        <v>0</v>
      </c>
      <c r="P62" s="242"/>
    </row>
    <row r="63" spans="2:16" ht="12.5">
      <c r="B63" s="160" t="str">
        <f t="shared" si="7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11"/>
        <v>0</v>
      </c>
      <c r="F63" s="485">
        <f t="shared" si="12"/>
        <v>0</v>
      </c>
      <c r="G63" s="486">
        <f t="shared" si="13"/>
        <v>0</v>
      </c>
      <c r="H63" s="455">
        <f t="shared" si="14"/>
        <v>0</v>
      </c>
      <c r="I63" s="475">
        <f t="shared" si="0"/>
        <v>0</v>
      </c>
      <c r="J63" s="475"/>
      <c r="K63" s="487"/>
      <c r="L63" s="478">
        <f t="shared" si="2"/>
        <v>0</v>
      </c>
      <c r="M63" s="487"/>
      <c r="N63" s="478">
        <f t="shared" si="4"/>
        <v>0</v>
      </c>
      <c r="O63" s="478">
        <f t="shared" si="5"/>
        <v>0</v>
      </c>
      <c r="P63" s="242"/>
    </row>
    <row r="64" spans="2:16" ht="12.5">
      <c r="B64" s="160" t="str">
        <f t="shared" si="7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11"/>
        <v>0</v>
      </c>
      <c r="F64" s="485">
        <f t="shared" si="12"/>
        <v>0</v>
      </c>
      <c r="G64" s="486">
        <f t="shared" si="13"/>
        <v>0</v>
      </c>
      <c r="H64" s="455">
        <f t="shared" si="14"/>
        <v>0</v>
      </c>
      <c r="I64" s="475">
        <f t="shared" si="0"/>
        <v>0</v>
      </c>
      <c r="J64" s="475"/>
      <c r="K64" s="487"/>
      <c r="L64" s="478">
        <f t="shared" si="2"/>
        <v>0</v>
      </c>
      <c r="M64" s="487"/>
      <c r="N64" s="478">
        <f t="shared" si="4"/>
        <v>0</v>
      </c>
      <c r="O64" s="478">
        <f t="shared" si="5"/>
        <v>0</v>
      </c>
      <c r="P64" s="242"/>
    </row>
    <row r="65" spans="2:16" ht="12.5">
      <c r="B65" s="160" t="str">
        <f t="shared" si="7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11"/>
        <v>0</v>
      </c>
      <c r="F65" s="485">
        <f t="shared" si="12"/>
        <v>0</v>
      </c>
      <c r="G65" s="486">
        <f t="shared" si="13"/>
        <v>0</v>
      </c>
      <c r="H65" s="455">
        <f t="shared" si="14"/>
        <v>0</v>
      </c>
      <c r="I65" s="475">
        <f t="shared" si="0"/>
        <v>0</v>
      </c>
      <c r="J65" s="475"/>
      <c r="K65" s="487"/>
      <c r="L65" s="478">
        <f t="shared" si="2"/>
        <v>0</v>
      </c>
      <c r="M65" s="487"/>
      <c r="N65" s="478">
        <f t="shared" si="4"/>
        <v>0</v>
      </c>
      <c r="O65" s="478">
        <f t="shared" si="5"/>
        <v>0</v>
      </c>
      <c r="P65" s="242"/>
    </row>
    <row r="66" spans="2:16" ht="12.5">
      <c r="B66" s="160" t="str">
        <f t="shared" si="7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11"/>
        <v>0</v>
      </c>
      <c r="F66" s="485">
        <f t="shared" si="12"/>
        <v>0</v>
      </c>
      <c r="G66" s="486">
        <f t="shared" si="13"/>
        <v>0</v>
      </c>
      <c r="H66" s="455">
        <f t="shared" si="14"/>
        <v>0</v>
      </c>
      <c r="I66" s="475">
        <f t="shared" si="0"/>
        <v>0</v>
      </c>
      <c r="J66" s="475"/>
      <c r="K66" s="487"/>
      <c r="L66" s="478">
        <f t="shared" si="2"/>
        <v>0</v>
      </c>
      <c r="M66" s="487"/>
      <c r="N66" s="478">
        <f t="shared" si="4"/>
        <v>0</v>
      </c>
      <c r="O66" s="478">
        <f t="shared" si="5"/>
        <v>0</v>
      </c>
      <c r="P66" s="242"/>
    </row>
    <row r="67" spans="2:16" ht="12.5">
      <c r="B67" s="160" t="str">
        <f t="shared" si="7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11"/>
        <v>0</v>
      </c>
      <c r="F67" s="485">
        <f t="shared" si="12"/>
        <v>0</v>
      </c>
      <c r="G67" s="486">
        <f t="shared" si="13"/>
        <v>0</v>
      </c>
      <c r="H67" s="455">
        <f t="shared" si="14"/>
        <v>0</v>
      </c>
      <c r="I67" s="475">
        <f t="shared" si="0"/>
        <v>0</v>
      </c>
      <c r="J67" s="475"/>
      <c r="K67" s="487"/>
      <c r="L67" s="478">
        <f t="shared" si="2"/>
        <v>0</v>
      </c>
      <c r="M67" s="487"/>
      <c r="N67" s="478">
        <f t="shared" si="4"/>
        <v>0</v>
      </c>
      <c r="O67" s="478">
        <f t="shared" si="5"/>
        <v>0</v>
      </c>
      <c r="P67" s="242"/>
    </row>
    <row r="68" spans="2:16" ht="12.5">
      <c r="B68" s="160" t="str">
        <f t="shared" si="7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11"/>
        <v>0</v>
      </c>
      <c r="F68" s="485">
        <f t="shared" si="12"/>
        <v>0</v>
      </c>
      <c r="G68" s="486">
        <f t="shared" si="13"/>
        <v>0</v>
      </c>
      <c r="H68" s="455">
        <f t="shared" si="14"/>
        <v>0</v>
      </c>
      <c r="I68" s="475">
        <f t="shared" si="0"/>
        <v>0</v>
      </c>
      <c r="J68" s="475"/>
      <c r="K68" s="487"/>
      <c r="L68" s="478">
        <f t="shared" si="2"/>
        <v>0</v>
      </c>
      <c r="M68" s="487"/>
      <c r="N68" s="478">
        <f t="shared" si="4"/>
        <v>0</v>
      </c>
      <c r="O68" s="478">
        <f t="shared" si="5"/>
        <v>0</v>
      </c>
      <c r="P68" s="242"/>
    </row>
    <row r="69" spans="2:16" ht="12.5">
      <c r="B69" s="160" t="str">
        <f t="shared" si="7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11"/>
        <v>0</v>
      </c>
      <c r="F69" s="485">
        <f t="shared" si="12"/>
        <v>0</v>
      </c>
      <c r="G69" s="486">
        <f t="shared" si="13"/>
        <v>0</v>
      </c>
      <c r="H69" s="455">
        <f t="shared" si="14"/>
        <v>0</v>
      </c>
      <c r="I69" s="475">
        <f t="shared" si="0"/>
        <v>0</v>
      </c>
      <c r="J69" s="475"/>
      <c r="K69" s="487"/>
      <c r="L69" s="478">
        <f t="shared" si="2"/>
        <v>0</v>
      </c>
      <c r="M69" s="487"/>
      <c r="N69" s="478">
        <f t="shared" si="4"/>
        <v>0</v>
      </c>
      <c r="O69" s="478">
        <f t="shared" si="5"/>
        <v>0</v>
      </c>
      <c r="P69" s="242"/>
    </row>
    <row r="70" spans="2:16" ht="12.5">
      <c r="B70" s="160" t="str">
        <f t="shared" si="7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11"/>
        <v>0</v>
      </c>
      <c r="F70" s="485">
        <f t="shared" si="12"/>
        <v>0</v>
      </c>
      <c r="G70" s="486">
        <f t="shared" si="13"/>
        <v>0</v>
      </c>
      <c r="H70" s="455">
        <f t="shared" si="14"/>
        <v>0</v>
      </c>
      <c r="I70" s="475">
        <f t="shared" si="0"/>
        <v>0</v>
      </c>
      <c r="J70" s="475"/>
      <c r="K70" s="487"/>
      <c r="L70" s="478">
        <f t="shared" si="2"/>
        <v>0</v>
      </c>
      <c r="M70" s="487"/>
      <c r="N70" s="478">
        <f t="shared" si="4"/>
        <v>0</v>
      </c>
      <c r="O70" s="478">
        <f t="shared" si="5"/>
        <v>0</v>
      </c>
      <c r="P70" s="242"/>
    </row>
    <row r="71" spans="2:16" ht="12.5">
      <c r="B71" s="160" t="str">
        <f t="shared" si="7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11"/>
        <v>0</v>
      </c>
      <c r="F71" s="485">
        <f t="shared" si="12"/>
        <v>0</v>
      </c>
      <c r="G71" s="486">
        <f t="shared" si="13"/>
        <v>0</v>
      </c>
      <c r="H71" s="455">
        <f t="shared" si="14"/>
        <v>0</v>
      </c>
      <c r="I71" s="475">
        <f t="shared" si="0"/>
        <v>0</v>
      </c>
      <c r="J71" s="475"/>
      <c r="K71" s="487"/>
      <c r="L71" s="478">
        <f t="shared" si="2"/>
        <v>0</v>
      </c>
      <c r="M71" s="487"/>
      <c r="N71" s="478">
        <f t="shared" si="4"/>
        <v>0</v>
      </c>
      <c r="O71" s="478">
        <f t="shared" si="5"/>
        <v>0</v>
      </c>
      <c r="P71" s="242"/>
    </row>
    <row r="72" spans="2:16" ht="13" thickBot="1">
      <c r="B72" s="160" t="str">
        <f t="shared" si="7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11"/>
        <v>0</v>
      </c>
      <c r="F72" s="490">
        <f t="shared" si="12"/>
        <v>0</v>
      </c>
      <c r="G72" s="544">
        <f t="shared" si="13"/>
        <v>0</v>
      </c>
      <c r="H72" s="435">
        <f t="shared" si="14"/>
        <v>0</v>
      </c>
      <c r="I72" s="493">
        <f t="shared" si="0"/>
        <v>0</v>
      </c>
      <c r="J72" s="475"/>
      <c r="K72" s="494"/>
      <c r="L72" s="495">
        <f t="shared" si="2"/>
        <v>0</v>
      </c>
      <c r="M72" s="494"/>
      <c r="N72" s="495">
        <f t="shared" si="4"/>
        <v>0</v>
      </c>
      <c r="O72" s="495">
        <f t="shared" si="5"/>
        <v>0</v>
      </c>
      <c r="P72" s="242"/>
    </row>
    <row r="73" spans="2:16" ht="12.5">
      <c r="C73" s="346" t="s">
        <v>77</v>
      </c>
      <c r="D73" s="347"/>
      <c r="E73" s="347">
        <f>SUM(E17:E72)</f>
        <v>330872.36000000004</v>
      </c>
      <c r="F73" s="347"/>
      <c r="G73" s="347">
        <f>SUM(G17:G72)</f>
        <v>1105150.0986754932</v>
      </c>
      <c r="H73" s="347">
        <f>SUM(H17:H72)</f>
        <v>1105150.0986754932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21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40464.576318636115</v>
      </c>
      <c r="N87" s="508">
        <f>IF(J92&lt;D11,0,VLOOKUP(J92,C17:O72,11))</f>
        <v>40464.576318636115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42183.031080558285</v>
      </c>
      <c r="N88" s="512">
        <f>IF(J92&lt;D11,0,VLOOKUP(J92,C99:P154,7))</f>
        <v>42183.031080558285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Darlington-Roman Nose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1718.4547619221703</v>
      </c>
      <c r="N89" s="517">
        <f>+N88-N87</f>
        <v>1718.4547619221703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TP2015027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330872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8070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2017</v>
      </c>
      <c r="D99" s="584">
        <v>0</v>
      </c>
      <c r="E99" s="608">
        <v>3596</v>
      </c>
      <c r="F99" s="584">
        <v>327228</v>
      </c>
      <c r="G99" s="608">
        <v>163614</v>
      </c>
      <c r="H99" s="587">
        <v>24350.848452847567</v>
      </c>
      <c r="I99" s="607">
        <v>24350.848452847567</v>
      </c>
      <c r="J99" s="478">
        <f t="shared" ref="J99:J130" si="15">+I99-H99</f>
        <v>0</v>
      </c>
      <c r="K99" s="478"/>
      <c r="L99" s="477">
        <f>+H99</f>
        <v>24350.848452847567</v>
      </c>
      <c r="M99" s="477">
        <f t="shared" ref="M99:M130" si="16">IF(L99&lt;&gt;0,+H99-L99,0)</f>
        <v>0</v>
      </c>
      <c r="N99" s="477">
        <f>+I99</f>
        <v>24350.848452847567</v>
      </c>
      <c r="O99" s="477">
        <f t="shared" ref="O99:O130" si="17">IF(N99&lt;&gt;0,+I99-N99,0)</f>
        <v>0</v>
      </c>
      <c r="P99" s="477">
        <f t="shared" ref="P99:P130" si="18">+O99-M99</f>
        <v>0</v>
      </c>
    </row>
    <row r="100" spans="1:16" ht="12.5">
      <c r="B100" s="160" t="str">
        <f>IF(D100=F99,"","IU")</f>
        <v/>
      </c>
      <c r="C100" s="472">
        <f>IF(D93="","-",+C99+1)</f>
        <v>2018</v>
      </c>
      <c r="D100" s="578">
        <v>327228</v>
      </c>
      <c r="E100" s="579">
        <v>7694</v>
      </c>
      <c r="F100" s="578">
        <v>319534</v>
      </c>
      <c r="G100" s="579">
        <v>323381</v>
      </c>
      <c r="H100" s="602">
        <v>40916.73033605556</v>
      </c>
      <c r="I100" s="578">
        <v>40916.73033605556</v>
      </c>
      <c r="J100" s="478">
        <f t="shared" si="15"/>
        <v>0</v>
      </c>
      <c r="K100" s="478"/>
      <c r="L100" s="476">
        <f>H100</f>
        <v>40916.73033605556</v>
      </c>
      <c r="M100" s="348">
        <f>IF(L100&lt;&gt;0,+H100-L100,0)</f>
        <v>0</v>
      </c>
      <c r="N100" s="476">
        <f>I100</f>
        <v>40916.73033605556</v>
      </c>
      <c r="O100" s="475">
        <f>IF(N100&lt;&gt;0,+I100-N100,0)</f>
        <v>0</v>
      </c>
      <c r="P100" s="478">
        <f>+O100-M100</f>
        <v>0</v>
      </c>
    </row>
    <row r="101" spans="1:16" ht="12.5">
      <c r="B101" s="160" t="str">
        <f t="shared" ref="B101:B154" si="19">IF(D101=F100,"","IU")</f>
        <v>IU</v>
      </c>
      <c r="C101" s="472">
        <f>IF(D93="","-",+C100+1)</f>
        <v>2019</v>
      </c>
      <c r="D101" s="578">
        <v>319582</v>
      </c>
      <c r="E101" s="579">
        <v>8070</v>
      </c>
      <c r="F101" s="578">
        <v>311512</v>
      </c>
      <c r="G101" s="579">
        <v>315547</v>
      </c>
      <c r="H101" s="602">
        <v>40607.321587664657</v>
      </c>
      <c r="I101" s="578">
        <v>40607.321587664657</v>
      </c>
      <c r="J101" s="478">
        <f t="shared" si="15"/>
        <v>0</v>
      </c>
      <c r="K101" s="478"/>
      <c r="L101" s="476">
        <f>H101</f>
        <v>40607.321587664657</v>
      </c>
      <c r="M101" s="348">
        <f>IF(L101&lt;&gt;0,+H101-L101,0)</f>
        <v>0</v>
      </c>
      <c r="N101" s="476">
        <f>I101</f>
        <v>40607.321587664657</v>
      </c>
      <c r="O101" s="478">
        <f t="shared" si="17"/>
        <v>0</v>
      </c>
      <c r="P101" s="478">
        <f t="shared" si="18"/>
        <v>0</v>
      </c>
    </row>
    <row r="102" spans="1:16" ht="12.5">
      <c r="B102" s="160" t="str">
        <f t="shared" si="19"/>
        <v/>
      </c>
      <c r="C102" s="472">
        <f>IF(D93="","-",+C101+1)</f>
        <v>2020</v>
      </c>
      <c r="D102" s="578">
        <v>311512</v>
      </c>
      <c r="E102" s="579">
        <v>7695</v>
      </c>
      <c r="F102" s="578">
        <v>303817</v>
      </c>
      <c r="G102" s="579">
        <v>307664.5</v>
      </c>
      <c r="H102" s="602">
        <v>43167.870996202138</v>
      </c>
      <c r="I102" s="578">
        <v>43167.870996202138</v>
      </c>
      <c r="J102" s="478">
        <f t="shared" si="15"/>
        <v>0</v>
      </c>
      <c r="K102" s="478"/>
      <c r="L102" s="476">
        <f>H102</f>
        <v>43167.870996202138</v>
      </c>
      <c r="M102" s="348">
        <f>IF(L102&lt;&gt;0,+H102-L102,0)</f>
        <v>0</v>
      </c>
      <c r="N102" s="476">
        <f>I102</f>
        <v>43167.870996202138</v>
      </c>
      <c r="O102" s="478">
        <f t="shared" si="17"/>
        <v>0</v>
      </c>
      <c r="P102" s="478">
        <f t="shared" si="18"/>
        <v>0</v>
      </c>
    </row>
    <row r="103" spans="1:16" ht="12.5">
      <c r="B103" s="160" t="str">
        <f t="shared" si="19"/>
        <v/>
      </c>
      <c r="C103" s="472">
        <f>IF(D93="","-",+C102+1)</f>
        <v>2021</v>
      </c>
      <c r="D103" s="346">
        <f>IF(F102+SUM(E$99:E102)=D$92,F102,D$92-SUM(E$99:E102))</f>
        <v>303817</v>
      </c>
      <c r="E103" s="484">
        <f t="shared" ref="E103:E154" si="20">IF(+J$96&lt;F102,J$96,D103)</f>
        <v>8070</v>
      </c>
      <c r="F103" s="485">
        <f t="shared" ref="F103:F154" si="21">+D103-E103</f>
        <v>295747</v>
      </c>
      <c r="G103" s="485">
        <f t="shared" ref="G103:G154" si="22">+(F103+D103)/2</f>
        <v>299782</v>
      </c>
      <c r="H103" s="613">
        <f t="shared" ref="H103:H154" si="23">+J$94*G103+E103</f>
        <v>42183.031080558285</v>
      </c>
      <c r="I103" s="614">
        <f t="shared" ref="I103:I154" si="24">+J$95*G103+E103</f>
        <v>42183.031080558285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7"/>
        <v>0</v>
      </c>
      <c r="P103" s="478">
        <f t="shared" si="18"/>
        <v>0</v>
      </c>
    </row>
    <row r="104" spans="1:16" ht="12.5">
      <c r="B104" s="160" t="str">
        <f t="shared" si="19"/>
        <v/>
      </c>
      <c r="C104" s="472">
        <f>IF(D93="","-",+C103+1)</f>
        <v>2022</v>
      </c>
      <c r="D104" s="346">
        <f>IF(F103+SUM(E$99:E103)=D$92,F103,D$92-SUM(E$99:E103))</f>
        <v>295747</v>
      </c>
      <c r="E104" s="484">
        <f t="shared" si="20"/>
        <v>8070</v>
      </c>
      <c r="F104" s="485">
        <f t="shared" si="21"/>
        <v>287677</v>
      </c>
      <c r="G104" s="485">
        <f t="shared" si="22"/>
        <v>291712</v>
      </c>
      <c r="H104" s="613">
        <f t="shared" si="23"/>
        <v>41264.723240794367</v>
      </c>
      <c r="I104" s="614">
        <f t="shared" si="24"/>
        <v>41264.723240794367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7"/>
        <v>0</v>
      </c>
      <c r="P104" s="478">
        <f t="shared" si="18"/>
        <v>0</v>
      </c>
    </row>
    <row r="105" spans="1:16" ht="12.5">
      <c r="B105" s="160" t="str">
        <f t="shared" si="19"/>
        <v/>
      </c>
      <c r="C105" s="472">
        <f>IF(D93="","-",+C104+1)</f>
        <v>2023</v>
      </c>
      <c r="D105" s="346">
        <f>IF(F104+SUM(E$99:E104)=D$92,F104,D$92-SUM(E$99:E104))</f>
        <v>287677</v>
      </c>
      <c r="E105" s="484">
        <f t="shared" si="20"/>
        <v>8070</v>
      </c>
      <c r="F105" s="485">
        <f t="shared" si="21"/>
        <v>279607</v>
      </c>
      <c r="G105" s="485">
        <f t="shared" si="22"/>
        <v>283642</v>
      </c>
      <c r="H105" s="613">
        <f t="shared" si="23"/>
        <v>40346.415401030456</v>
      </c>
      <c r="I105" s="614">
        <f t="shared" si="24"/>
        <v>40346.415401030456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7"/>
        <v>0</v>
      </c>
      <c r="P105" s="478">
        <f t="shared" si="18"/>
        <v>0</v>
      </c>
    </row>
    <row r="106" spans="1:16" ht="12.5">
      <c r="B106" s="160" t="str">
        <f t="shared" si="19"/>
        <v/>
      </c>
      <c r="C106" s="472">
        <f>IF(D93="","-",+C105+1)</f>
        <v>2024</v>
      </c>
      <c r="D106" s="346">
        <f>IF(F105+SUM(E$99:E105)=D$92,F105,D$92-SUM(E$99:E105))</f>
        <v>279607</v>
      </c>
      <c r="E106" s="484">
        <f t="shared" si="20"/>
        <v>8070</v>
      </c>
      <c r="F106" s="485">
        <f t="shared" si="21"/>
        <v>271537</v>
      </c>
      <c r="G106" s="485">
        <f t="shared" si="22"/>
        <v>275572</v>
      </c>
      <c r="H106" s="613">
        <f t="shared" si="23"/>
        <v>39428.107561266545</v>
      </c>
      <c r="I106" s="614">
        <f t="shared" si="24"/>
        <v>39428.107561266545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7"/>
        <v>0</v>
      </c>
      <c r="P106" s="478">
        <f t="shared" si="18"/>
        <v>0</v>
      </c>
    </row>
    <row r="107" spans="1:16" ht="12.5">
      <c r="B107" s="160" t="str">
        <f t="shared" si="19"/>
        <v/>
      </c>
      <c r="C107" s="472">
        <f>IF(D93="","-",+C106+1)</f>
        <v>2025</v>
      </c>
      <c r="D107" s="346">
        <f>IF(F106+SUM(E$99:E106)=D$92,F106,D$92-SUM(E$99:E106))</f>
        <v>271537</v>
      </c>
      <c r="E107" s="484">
        <f t="shared" si="20"/>
        <v>8070</v>
      </c>
      <c r="F107" s="485">
        <f t="shared" si="21"/>
        <v>263467</v>
      </c>
      <c r="G107" s="485">
        <f t="shared" si="22"/>
        <v>267502</v>
      </c>
      <c r="H107" s="613">
        <f t="shared" si="23"/>
        <v>38509.799721502626</v>
      </c>
      <c r="I107" s="614">
        <f t="shared" si="24"/>
        <v>38509.799721502626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7"/>
        <v>0</v>
      </c>
      <c r="P107" s="478">
        <f t="shared" si="18"/>
        <v>0</v>
      </c>
    </row>
    <row r="108" spans="1:16" ht="12.5">
      <c r="B108" s="160" t="str">
        <f t="shared" si="19"/>
        <v/>
      </c>
      <c r="C108" s="472">
        <f>IF(D93="","-",+C107+1)</f>
        <v>2026</v>
      </c>
      <c r="D108" s="346">
        <f>IF(F107+SUM(E$99:E107)=D$92,F107,D$92-SUM(E$99:E107))</f>
        <v>263467</v>
      </c>
      <c r="E108" s="484">
        <f t="shared" si="20"/>
        <v>8070</v>
      </c>
      <c r="F108" s="485">
        <f t="shared" si="21"/>
        <v>255397</v>
      </c>
      <c r="G108" s="485">
        <f t="shared" si="22"/>
        <v>259432</v>
      </c>
      <c r="H108" s="613">
        <f t="shared" si="23"/>
        <v>37591.491881738722</v>
      </c>
      <c r="I108" s="614">
        <f t="shared" si="24"/>
        <v>37591.491881738722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7"/>
        <v>0</v>
      </c>
      <c r="P108" s="478">
        <f t="shared" si="18"/>
        <v>0</v>
      </c>
    </row>
    <row r="109" spans="1:16" ht="12.5">
      <c r="B109" s="160" t="str">
        <f t="shared" si="19"/>
        <v/>
      </c>
      <c r="C109" s="472">
        <f>IF(D93="","-",+C108+1)</f>
        <v>2027</v>
      </c>
      <c r="D109" s="346">
        <f>IF(F108+SUM(E$99:E108)=D$92,F108,D$92-SUM(E$99:E108))</f>
        <v>255397</v>
      </c>
      <c r="E109" s="484">
        <f t="shared" si="20"/>
        <v>8070</v>
      </c>
      <c r="F109" s="485">
        <f t="shared" si="21"/>
        <v>247327</v>
      </c>
      <c r="G109" s="485">
        <f t="shared" si="22"/>
        <v>251362</v>
      </c>
      <c r="H109" s="613">
        <f t="shared" si="23"/>
        <v>36673.184041974804</v>
      </c>
      <c r="I109" s="614">
        <f t="shared" si="24"/>
        <v>36673.184041974804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7"/>
        <v>0</v>
      </c>
      <c r="P109" s="478">
        <f t="shared" si="18"/>
        <v>0</v>
      </c>
    </row>
    <row r="110" spans="1:16" ht="12.5">
      <c r="B110" s="160" t="str">
        <f t="shared" si="19"/>
        <v/>
      </c>
      <c r="C110" s="472">
        <f>IF(D93="","-",+C109+1)</f>
        <v>2028</v>
      </c>
      <c r="D110" s="346">
        <f>IF(F109+SUM(E$99:E109)=D$92,F109,D$92-SUM(E$99:E109))</f>
        <v>247327</v>
      </c>
      <c r="E110" s="484">
        <f t="shared" si="20"/>
        <v>8070</v>
      </c>
      <c r="F110" s="485">
        <f t="shared" si="21"/>
        <v>239257</v>
      </c>
      <c r="G110" s="485">
        <f t="shared" si="22"/>
        <v>243292</v>
      </c>
      <c r="H110" s="613">
        <f t="shared" si="23"/>
        <v>35754.876202210893</v>
      </c>
      <c r="I110" s="614">
        <f t="shared" si="24"/>
        <v>35754.876202210893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7"/>
        <v>0</v>
      </c>
      <c r="P110" s="478">
        <f t="shared" si="18"/>
        <v>0</v>
      </c>
    </row>
    <row r="111" spans="1:16" ht="12.5">
      <c r="B111" s="160" t="str">
        <f t="shared" si="19"/>
        <v/>
      </c>
      <c r="C111" s="472">
        <f>IF(D93="","-",+C110+1)</f>
        <v>2029</v>
      </c>
      <c r="D111" s="346">
        <f>IF(F110+SUM(E$99:E110)=D$92,F110,D$92-SUM(E$99:E110))</f>
        <v>239257</v>
      </c>
      <c r="E111" s="484">
        <f t="shared" si="20"/>
        <v>8070</v>
      </c>
      <c r="F111" s="485">
        <f t="shared" si="21"/>
        <v>231187</v>
      </c>
      <c r="G111" s="485">
        <f t="shared" si="22"/>
        <v>235222</v>
      </c>
      <c r="H111" s="613">
        <f t="shared" si="23"/>
        <v>34836.568362446982</v>
      </c>
      <c r="I111" s="614">
        <f t="shared" si="24"/>
        <v>34836.568362446982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7"/>
        <v>0</v>
      </c>
      <c r="P111" s="478">
        <f t="shared" si="18"/>
        <v>0</v>
      </c>
    </row>
    <row r="112" spans="1:16" ht="12.5">
      <c r="B112" s="160" t="str">
        <f t="shared" si="19"/>
        <v/>
      </c>
      <c r="C112" s="472">
        <f>IF(D93="","-",+C111+1)</f>
        <v>2030</v>
      </c>
      <c r="D112" s="346">
        <f>IF(F111+SUM(E$99:E111)=D$92,F111,D$92-SUM(E$99:E111))</f>
        <v>231187</v>
      </c>
      <c r="E112" s="484">
        <f t="shared" si="20"/>
        <v>8070</v>
      </c>
      <c r="F112" s="485">
        <f t="shared" si="21"/>
        <v>223117</v>
      </c>
      <c r="G112" s="485">
        <f t="shared" si="22"/>
        <v>227152</v>
      </c>
      <c r="H112" s="613">
        <f t="shared" si="23"/>
        <v>33918.260522683064</v>
      </c>
      <c r="I112" s="614">
        <f t="shared" si="24"/>
        <v>33918.260522683064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7"/>
        <v>0</v>
      </c>
      <c r="P112" s="478">
        <f t="shared" si="18"/>
        <v>0</v>
      </c>
    </row>
    <row r="113" spans="2:16" ht="12.5">
      <c r="B113" s="160" t="str">
        <f t="shared" si="19"/>
        <v/>
      </c>
      <c r="C113" s="472">
        <f>IF(D93="","-",+C112+1)</f>
        <v>2031</v>
      </c>
      <c r="D113" s="346">
        <f>IF(F112+SUM(E$99:E112)=D$92,F112,D$92-SUM(E$99:E112))</f>
        <v>223117</v>
      </c>
      <c r="E113" s="484">
        <f t="shared" si="20"/>
        <v>8070</v>
      </c>
      <c r="F113" s="485">
        <f t="shared" si="21"/>
        <v>215047</v>
      </c>
      <c r="G113" s="485">
        <f t="shared" si="22"/>
        <v>219082</v>
      </c>
      <c r="H113" s="613">
        <f t="shared" si="23"/>
        <v>32999.952682919153</v>
      </c>
      <c r="I113" s="614">
        <f t="shared" si="24"/>
        <v>32999.952682919153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7"/>
        <v>0</v>
      </c>
      <c r="P113" s="478">
        <f t="shared" si="18"/>
        <v>0</v>
      </c>
    </row>
    <row r="114" spans="2:16" ht="12.5">
      <c r="B114" s="160" t="str">
        <f t="shared" si="19"/>
        <v/>
      </c>
      <c r="C114" s="472">
        <f>IF(D93="","-",+C113+1)</f>
        <v>2032</v>
      </c>
      <c r="D114" s="346">
        <f>IF(F113+SUM(E$99:E113)=D$92,F113,D$92-SUM(E$99:E113))</f>
        <v>215047</v>
      </c>
      <c r="E114" s="484">
        <f t="shared" si="20"/>
        <v>8070</v>
      </c>
      <c r="F114" s="485">
        <f t="shared" si="21"/>
        <v>206977</v>
      </c>
      <c r="G114" s="485">
        <f t="shared" si="22"/>
        <v>211012</v>
      </c>
      <c r="H114" s="613">
        <f t="shared" si="23"/>
        <v>32081.644843155242</v>
      </c>
      <c r="I114" s="614">
        <f t="shared" si="24"/>
        <v>32081.644843155242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7"/>
        <v>0</v>
      </c>
      <c r="P114" s="478">
        <f t="shared" si="18"/>
        <v>0</v>
      </c>
    </row>
    <row r="115" spans="2:16" ht="12.5">
      <c r="B115" s="160" t="str">
        <f t="shared" si="19"/>
        <v/>
      </c>
      <c r="C115" s="472">
        <f>IF(D93="","-",+C114+1)</f>
        <v>2033</v>
      </c>
      <c r="D115" s="346">
        <f>IF(F114+SUM(E$99:E114)=D$92,F114,D$92-SUM(E$99:E114))</f>
        <v>206977</v>
      </c>
      <c r="E115" s="484">
        <f t="shared" si="20"/>
        <v>8070</v>
      </c>
      <c r="F115" s="485">
        <f t="shared" si="21"/>
        <v>198907</v>
      </c>
      <c r="G115" s="485">
        <f t="shared" si="22"/>
        <v>202942</v>
      </c>
      <c r="H115" s="613">
        <f t="shared" si="23"/>
        <v>31163.337003391327</v>
      </c>
      <c r="I115" s="614">
        <f t="shared" si="24"/>
        <v>31163.337003391327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7"/>
        <v>0</v>
      </c>
      <c r="P115" s="478">
        <f t="shared" si="18"/>
        <v>0</v>
      </c>
    </row>
    <row r="116" spans="2:16" ht="12.5">
      <c r="B116" s="160" t="str">
        <f t="shared" si="19"/>
        <v/>
      </c>
      <c r="C116" s="472">
        <f>IF(D93="","-",+C115+1)</f>
        <v>2034</v>
      </c>
      <c r="D116" s="346">
        <f>IF(F115+SUM(E$99:E115)=D$92,F115,D$92-SUM(E$99:E115))</f>
        <v>198907</v>
      </c>
      <c r="E116" s="484">
        <f t="shared" si="20"/>
        <v>8070</v>
      </c>
      <c r="F116" s="485">
        <f t="shared" si="21"/>
        <v>190837</v>
      </c>
      <c r="G116" s="485">
        <f t="shared" si="22"/>
        <v>194872</v>
      </c>
      <c r="H116" s="613">
        <f t="shared" si="23"/>
        <v>30245.029163627416</v>
      </c>
      <c r="I116" s="614">
        <f t="shared" si="24"/>
        <v>30245.029163627416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7"/>
        <v>0</v>
      </c>
      <c r="P116" s="478">
        <f t="shared" si="18"/>
        <v>0</v>
      </c>
    </row>
    <row r="117" spans="2:16" ht="12.5">
      <c r="B117" s="160" t="str">
        <f t="shared" si="19"/>
        <v/>
      </c>
      <c r="C117" s="472">
        <f>IF(D93="","-",+C116+1)</f>
        <v>2035</v>
      </c>
      <c r="D117" s="346">
        <f>IF(F116+SUM(E$99:E116)=D$92,F116,D$92-SUM(E$99:E116))</f>
        <v>190837</v>
      </c>
      <c r="E117" s="484">
        <f t="shared" si="20"/>
        <v>8070</v>
      </c>
      <c r="F117" s="485">
        <f t="shared" si="21"/>
        <v>182767</v>
      </c>
      <c r="G117" s="485">
        <f t="shared" si="22"/>
        <v>186802</v>
      </c>
      <c r="H117" s="613">
        <f t="shared" si="23"/>
        <v>29326.721323863501</v>
      </c>
      <c r="I117" s="614">
        <f t="shared" si="24"/>
        <v>29326.721323863501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7"/>
        <v>0</v>
      </c>
      <c r="P117" s="478">
        <f t="shared" si="18"/>
        <v>0</v>
      </c>
    </row>
    <row r="118" spans="2:16" ht="12.5">
      <c r="B118" s="160" t="str">
        <f t="shared" si="19"/>
        <v/>
      </c>
      <c r="C118" s="472">
        <f>IF(D93="","-",+C117+1)</f>
        <v>2036</v>
      </c>
      <c r="D118" s="346">
        <f>IF(F117+SUM(E$99:E117)=D$92,F117,D$92-SUM(E$99:E117))</f>
        <v>182767</v>
      </c>
      <c r="E118" s="484">
        <f t="shared" si="20"/>
        <v>8070</v>
      </c>
      <c r="F118" s="485">
        <f t="shared" si="21"/>
        <v>174697</v>
      </c>
      <c r="G118" s="485">
        <f t="shared" si="22"/>
        <v>178732</v>
      </c>
      <c r="H118" s="613">
        <f t="shared" si="23"/>
        <v>28408.41348409959</v>
      </c>
      <c r="I118" s="614">
        <f t="shared" si="24"/>
        <v>28408.41348409959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7"/>
        <v>0</v>
      </c>
      <c r="P118" s="478">
        <f t="shared" si="18"/>
        <v>0</v>
      </c>
    </row>
    <row r="119" spans="2:16" ht="12.5">
      <c r="B119" s="160" t="str">
        <f t="shared" si="19"/>
        <v/>
      </c>
      <c r="C119" s="472">
        <f>IF(D93="","-",+C118+1)</f>
        <v>2037</v>
      </c>
      <c r="D119" s="346">
        <f>IF(F118+SUM(E$99:E118)=D$92,F118,D$92-SUM(E$99:E118))</f>
        <v>174697</v>
      </c>
      <c r="E119" s="484">
        <f t="shared" si="20"/>
        <v>8070</v>
      </c>
      <c r="F119" s="485">
        <f t="shared" si="21"/>
        <v>166627</v>
      </c>
      <c r="G119" s="485">
        <f t="shared" si="22"/>
        <v>170662</v>
      </c>
      <c r="H119" s="613">
        <f t="shared" si="23"/>
        <v>27490.105644335676</v>
      </c>
      <c r="I119" s="614">
        <f t="shared" si="24"/>
        <v>27490.105644335676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7"/>
        <v>0</v>
      </c>
      <c r="P119" s="478">
        <f t="shared" si="18"/>
        <v>0</v>
      </c>
    </row>
    <row r="120" spans="2:16" ht="12.5">
      <c r="B120" s="160" t="str">
        <f t="shared" si="19"/>
        <v/>
      </c>
      <c r="C120" s="472">
        <f>IF(D93="","-",+C119+1)</f>
        <v>2038</v>
      </c>
      <c r="D120" s="346">
        <f>IF(F119+SUM(E$99:E119)=D$92,F119,D$92-SUM(E$99:E119))</f>
        <v>166627</v>
      </c>
      <c r="E120" s="484">
        <f t="shared" si="20"/>
        <v>8070</v>
      </c>
      <c r="F120" s="485">
        <f t="shared" si="21"/>
        <v>158557</v>
      </c>
      <c r="G120" s="485">
        <f t="shared" si="22"/>
        <v>162592</v>
      </c>
      <c r="H120" s="613">
        <f t="shared" si="23"/>
        <v>26571.797804571765</v>
      </c>
      <c r="I120" s="614">
        <f t="shared" si="24"/>
        <v>26571.797804571765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7"/>
        <v>0</v>
      </c>
      <c r="P120" s="478">
        <f t="shared" si="18"/>
        <v>0</v>
      </c>
    </row>
    <row r="121" spans="2:16" ht="12.5">
      <c r="B121" s="160" t="str">
        <f t="shared" si="19"/>
        <v/>
      </c>
      <c r="C121" s="472">
        <f>IF(D93="","-",+C120+1)</f>
        <v>2039</v>
      </c>
      <c r="D121" s="346">
        <f>IF(F120+SUM(E$99:E120)=D$92,F120,D$92-SUM(E$99:E120))</f>
        <v>158557</v>
      </c>
      <c r="E121" s="484">
        <f t="shared" si="20"/>
        <v>8070</v>
      </c>
      <c r="F121" s="485">
        <f t="shared" si="21"/>
        <v>150487</v>
      </c>
      <c r="G121" s="485">
        <f t="shared" si="22"/>
        <v>154522</v>
      </c>
      <c r="H121" s="613">
        <f t="shared" si="23"/>
        <v>25653.48996480785</v>
      </c>
      <c r="I121" s="614">
        <f t="shared" si="24"/>
        <v>25653.48996480785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7"/>
        <v>0</v>
      </c>
      <c r="P121" s="478">
        <f t="shared" si="18"/>
        <v>0</v>
      </c>
    </row>
    <row r="122" spans="2:16" ht="12.5">
      <c r="B122" s="160" t="str">
        <f t="shared" si="19"/>
        <v/>
      </c>
      <c r="C122" s="472">
        <f>IF(D93="","-",+C121+1)</f>
        <v>2040</v>
      </c>
      <c r="D122" s="346">
        <f>IF(F121+SUM(E$99:E121)=D$92,F121,D$92-SUM(E$99:E121))</f>
        <v>150487</v>
      </c>
      <c r="E122" s="484">
        <f t="shared" si="20"/>
        <v>8070</v>
      </c>
      <c r="F122" s="485">
        <f t="shared" si="21"/>
        <v>142417</v>
      </c>
      <c r="G122" s="485">
        <f t="shared" si="22"/>
        <v>146452</v>
      </c>
      <c r="H122" s="613">
        <f t="shared" si="23"/>
        <v>24735.182125043939</v>
      </c>
      <c r="I122" s="614">
        <f t="shared" si="24"/>
        <v>24735.182125043939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7"/>
        <v>0</v>
      </c>
      <c r="P122" s="478">
        <f t="shared" si="18"/>
        <v>0</v>
      </c>
    </row>
    <row r="123" spans="2:16" ht="12.5">
      <c r="B123" s="160" t="str">
        <f t="shared" si="19"/>
        <v/>
      </c>
      <c r="C123" s="472">
        <f>IF(D93="","-",+C122+1)</f>
        <v>2041</v>
      </c>
      <c r="D123" s="346">
        <f>IF(F122+SUM(E$99:E122)=D$92,F122,D$92-SUM(E$99:E122))</f>
        <v>142417</v>
      </c>
      <c r="E123" s="484">
        <f t="shared" si="20"/>
        <v>8070</v>
      </c>
      <c r="F123" s="485">
        <f t="shared" si="21"/>
        <v>134347</v>
      </c>
      <c r="G123" s="485">
        <f t="shared" si="22"/>
        <v>138382</v>
      </c>
      <c r="H123" s="613">
        <f t="shared" si="23"/>
        <v>23816.874285280024</v>
      </c>
      <c r="I123" s="614">
        <f t="shared" si="24"/>
        <v>23816.874285280024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7"/>
        <v>0</v>
      </c>
      <c r="P123" s="478">
        <f t="shared" si="18"/>
        <v>0</v>
      </c>
    </row>
    <row r="124" spans="2:16" ht="12.5">
      <c r="B124" s="160" t="str">
        <f t="shared" si="19"/>
        <v/>
      </c>
      <c r="C124" s="472">
        <f>IF(D93="","-",+C123+1)</f>
        <v>2042</v>
      </c>
      <c r="D124" s="346">
        <f>IF(F123+SUM(E$99:E123)=D$92,F123,D$92-SUM(E$99:E123))</f>
        <v>134347</v>
      </c>
      <c r="E124" s="484">
        <f t="shared" si="20"/>
        <v>8070</v>
      </c>
      <c r="F124" s="485">
        <f t="shared" si="21"/>
        <v>126277</v>
      </c>
      <c r="G124" s="485">
        <f t="shared" si="22"/>
        <v>130312</v>
      </c>
      <c r="H124" s="613">
        <f t="shared" si="23"/>
        <v>22898.56644551611</v>
      </c>
      <c r="I124" s="614">
        <f t="shared" si="24"/>
        <v>22898.56644551611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7"/>
        <v>0</v>
      </c>
      <c r="P124" s="478">
        <f t="shared" si="18"/>
        <v>0</v>
      </c>
    </row>
    <row r="125" spans="2:16" ht="12.5">
      <c r="B125" s="160" t="str">
        <f t="shared" si="19"/>
        <v/>
      </c>
      <c r="C125" s="472">
        <f>IF(D93="","-",+C124+1)</f>
        <v>2043</v>
      </c>
      <c r="D125" s="346">
        <f>IF(F124+SUM(E$99:E124)=D$92,F124,D$92-SUM(E$99:E124))</f>
        <v>126277</v>
      </c>
      <c r="E125" s="484">
        <f t="shared" si="20"/>
        <v>8070</v>
      </c>
      <c r="F125" s="485">
        <f t="shared" si="21"/>
        <v>118207</v>
      </c>
      <c r="G125" s="485">
        <f t="shared" si="22"/>
        <v>122242</v>
      </c>
      <c r="H125" s="613">
        <f t="shared" si="23"/>
        <v>21980.258605752198</v>
      </c>
      <c r="I125" s="614">
        <f t="shared" si="24"/>
        <v>21980.258605752198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7"/>
        <v>0</v>
      </c>
      <c r="P125" s="478">
        <f t="shared" si="18"/>
        <v>0</v>
      </c>
    </row>
    <row r="126" spans="2:16" ht="12.5">
      <c r="B126" s="160" t="str">
        <f t="shared" si="19"/>
        <v/>
      </c>
      <c r="C126" s="472">
        <f>IF(D93="","-",+C125+1)</f>
        <v>2044</v>
      </c>
      <c r="D126" s="346">
        <f>IF(F125+SUM(E$99:E125)=D$92,F125,D$92-SUM(E$99:E125))</f>
        <v>118207</v>
      </c>
      <c r="E126" s="484">
        <f t="shared" si="20"/>
        <v>8070</v>
      </c>
      <c r="F126" s="485">
        <f t="shared" si="21"/>
        <v>110137</v>
      </c>
      <c r="G126" s="485">
        <f t="shared" si="22"/>
        <v>114172</v>
      </c>
      <c r="H126" s="613">
        <f t="shared" si="23"/>
        <v>21061.950765988287</v>
      </c>
      <c r="I126" s="614">
        <f t="shared" si="24"/>
        <v>21061.950765988287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7"/>
        <v>0</v>
      </c>
      <c r="P126" s="478">
        <f t="shared" si="18"/>
        <v>0</v>
      </c>
    </row>
    <row r="127" spans="2:16" ht="12.5">
      <c r="B127" s="160" t="str">
        <f t="shared" si="19"/>
        <v/>
      </c>
      <c r="C127" s="472">
        <f>IF(D93="","-",+C126+1)</f>
        <v>2045</v>
      </c>
      <c r="D127" s="346">
        <f>IF(F126+SUM(E$99:E126)=D$92,F126,D$92-SUM(E$99:E126))</f>
        <v>110137</v>
      </c>
      <c r="E127" s="484">
        <f t="shared" si="20"/>
        <v>8070</v>
      </c>
      <c r="F127" s="485">
        <f t="shared" si="21"/>
        <v>102067</v>
      </c>
      <c r="G127" s="485">
        <f t="shared" si="22"/>
        <v>106102</v>
      </c>
      <c r="H127" s="613">
        <f t="shared" si="23"/>
        <v>20143.642926224373</v>
      </c>
      <c r="I127" s="614">
        <f t="shared" si="24"/>
        <v>20143.642926224373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7"/>
        <v>0</v>
      </c>
      <c r="P127" s="478">
        <f t="shared" si="18"/>
        <v>0</v>
      </c>
    </row>
    <row r="128" spans="2:16" ht="12.5">
      <c r="B128" s="160" t="str">
        <f t="shared" si="19"/>
        <v/>
      </c>
      <c r="C128" s="472">
        <f>IF(D93="","-",+C127+1)</f>
        <v>2046</v>
      </c>
      <c r="D128" s="346">
        <f>IF(F127+SUM(E$99:E127)=D$92,F127,D$92-SUM(E$99:E127))</f>
        <v>102067</v>
      </c>
      <c r="E128" s="484">
        <f t="shared" si="20"/>
        <v>8070</v>
      </c>
      <c r="F128" s="485">
        <f t="shared" si="21"/>
        <v>93997</v>
      </c>
      <c r="G128" s="485">
        <f t="shared" si="22"/>
        <v>98032</v>
      </c>
      <c r="H128" s="613">
        <f t="shared" si="23"/>
        <v>19225.335086460458</v>
      </c>
      <c r="I128" s="614">
        <f t="shared" si="24"/>
        <v>19225.335086460458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7"/>
        <v>0</v>
      </c>
      <c r="P128" s="478">
        <f t="shared" si="18"/>
        <v>0</v>
      </c>
    </row>
    <row r="129" spans="2:16" ht="12.5">
      <c r="B129" s="160" t="str">
        <f t="shared" si="19"/>
        <v/>
      </c>
      <c r="C129" s="472">
        <f>IF(D93="","-",+C128+1)</f>
        <v>2047</v>
      </c>
      <c r="D129" s="346">
        <f>IF(F128+SUM(E$99:E128)=D$92,F128,D$92-SUM(E$99:E128))</f>
        <v>93997</v>
      </c>
      <c r="E129" s="484">
        <f t="shared" si="20"/>
        <v>8070</v>
      </c>
      <c r="F129" s="485">
        <f t="shared" si="21"/>
        <v>85927</v>
      </c>
      <c r="G129" s="485">
        <f t="shared" si="22"/>
        <v>89962</v>
      </c>
      <c r="H129" s="613">
        <f t="shared" si="23"/>
        <v>18307.027246696547</v>
      </c>
      <c r="I129" s="614">
        <f t="shared" si="24"/>
        <v>18307.027246696547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7"/>
        <v>0</v>
      </c>
      <c r="P129" s="478">
        <f t="shared" si="18"/>
        <v>0</v>
      </c>
    </row>
    <row r="130" spans="2:16" ht="12.5">
      <c r="B130" s="160" t="str">
        <f t="shared" si="19"/>
        <v/>
      </c>
      <c r="C130" s="472">
        <f>IF(D93="","-",+C129+1)</f>
        <v>2048</v>
      </c>
      <c r="D130" s="346">
        <f>IF(F129+SUM(E$99:E129)=D$92,F129,D$92-SUM(E$99:E129))</f>
        <v>85927</v>
      </c>
      <c r="E130" s="484">
        <f t="shared" si="20"/>
        <v>8070</v>
      </c>
      <c r="F130" s="485">
        <f t="shared" si="21"/>
        <v>77857</v>
      </c>
      <c r="G130" s="485">
        <f t="shared" si="22"/>
        <v>81892</v>
      </c>
      <c r="H130" s="613">
        <f t="shared" si="23"/>
        <v>17388.719406932636</v>
      </c>
      <c r="I130" s="614">
        <f t="shared" si="24"/>
        <v>17388.719406932636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7"/>
        <v>0</v>
      </c>
      <c r="P130" s="478">
        <f t="shared" si="18"/>
        <v>0</v>
      </c>
    </row>
    <row r="131" spans="2:16" ht="12.5">
      <c r="B131" s="160" t="str">
        <f t="shared" si="19"/>
        <v/>
      </c>
      <c r="C131" s="472">
        <f>IF(D93="","-",+C130+1)</f>
        <v>2049</v>
      </c>
      <c r="D131" s="346">
        <f>IF(F130+SUM(E$99:E130)=D$92,F130,D$92-SUM(E$99:E130))</f>
        <v>77857</v>
      </c>
      <c r="E131" s="484">
        <f t="shared" si="20"/>
        <v>8070</v>
      </c>
      <c r="F131" s="485">
        <f t="shared" si="21"/>
        <v>69787</v>
      </c>
      <c r="G131" s="485">
        <f t="shared" si="22"/>
        <v>73822</v>
      </c>
      <c r="H131" s="613">
        <f t="shared" si="23"/>
        <v>16470.411567168721</v>
      </c>
      <c r="I131" s="614">
        <f t="shared" si="24"/>
        <v>16470.411567168721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9"/>
        <v/>
      </c>
      <c r="C132" s="472">
        <f>IF(D93="","-",+C131+1)</f>
        <v>2050</v>
      </c>
      <c r="D132" s="346">
        <f>IF(F131+SUM(E$99:E131)=D$92,F131,D$92-SUM(E$99:E131))</f>
        <v>69787</v>
      </c>
      <c r="E132" s="484">
        <f t="shared" si="20"/>
        <v>8070</v>
      </c>
      <c r="F132" s="485">
        <f t="shared" si="21"/>
        <v>61717</v>
      </c>
      <c r="G132" s="485">
        <f t="shared" si="22"/>
        <v>65752</v>
      </c>
      <c r="H132" s="613">
        <f t="shared" si="23"/>
        <v>15552.103727404809</v>
      </c>
      <c r="I132" s="614">
        <f t="shared" si="24"/>
        <v>15552.103727404809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9"/>
        <v/>
      </c>
      <c r="C133" s="472">
        <f>IF(D93="","-",+C132+1)</f>
        <v>2051</v>
      </c>
      <c r="D133" s="346">
        <f>IF(F132+SUM(E$99:E132)=D$92,F132,D$92-SUM(E$99:E132))</f>
        <v>61717</v>
      </c>
      <c r="E133" s="484">
        <f t="shared" si="20"/>
        <v>8070</v>
      </c>
      <c r="F133" s="485">
        <f t="shared" si="21"/>
        <v>53647</v>
      </c>
      <c r="G133" s="485">
        <f t="shared" si="22"/>
        <v>57682</v>
      </c>
      <c r="H133" s="613">
        <f t="shared" si="23"/>
        <v>14633.795887640896</v>
      </c>
      <c r="I133" s="614">
        <f t="shared" si="24"/>
        <v>14633.795887640896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9"/>
        <v/>
      </c>
      <c r="C134" s="472">
        <f>IF(D93="","-",+C133+1)</f>
        <v>2052</v>
      </c>
      <c r="D134" s="346">
        <f>IF(F133+SUM(E$99:E133)=D$92,F133,D$92-SUM(E$99:E133))</f>
        <v>53647</v>
      </c>
      <c r="E134" s="484">
        <f t="shared" si="20"/>
        <v>8070</v>
      </c>
      <c r="F134" s="485">
        <f t="shared" si="21"/>
        <v>45577</v>
      </c>
      <c r="G134" s="485">
        <f t="shared" si="22"/>
        <v>49612</v>
      </c>
      <c r="H134" s="613">
        <f t="shared" si="23"/>
        <v>13715.488047876983</v>
      </c>
      <c r="I134" s="614">
        <f t="shared" si="24"/>
        <v>13715.488047876983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9"/>
        <v/>
      </c>
      <c r="C135" s="472">
        <f>IF(D93="","-",+C134+1)</f>
        <v>2053</v>
      </c>
      <c r="D135" s="346">
        <f>IF(F134+SUM(E$99:E134)=D$92,F134,D$92-SUM(E$99:E134))</f>
        <v>45577</v>
      </c>
      <c r="E135" s="484">
        <f t="shared" si="20"/>
        <v>8070</v>
      </c>
      <c r="F135" s="485">
        <f t="shared" si="21"/>
        <v>37507</v>
      </c>
      <c r="G135" s="485">
        <f t="shared" si="22"/>
        <v>41542</v>
      </c>
      <c r="H135" s="613">
        <f t="shared" si="23"/>
        <v>12797.18020811307</v>
      </c>
      <c r="I135" s="614">
        <f t="shared" si="24"/>
        <v>12797.18020811307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9"/>
        <v/>
      </c>
      <c r="C136" s="472">
        <f>IF(D93="","-",+C135+1)</f>
        <v>2054</v>
      </c>
      <c r="D136" s="346">
        <f>IF(F135+SUM(E$99:E135)=D$92,F135,D$92-SUM(E$99:E135))</f>
        <v>37507</v>
      </c>
      <c r="E136" s="484">
        <f t="shared" si="20"/>
        <v>8070</v>
      </c>
      <c r="F136" s="485">
        <f t="shared" si="21"/>
        <v>29437</v>
      </c>
      <c r="G136" s="485">
        <f t="shared" si="22"/>
        <v>33472</v>
      </c>
      <c r="H136" s="613">
        <f t="shared" si="23"/>
        <v>11878.872368349157</v>
      </c>
      <c r="I136" s="614">
        <f t="shared" si="24"/>
        <v>11878.872368349157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9"/>
        <v/>
      </c>
      <c r="C137" s="472">
        <f>IF(D93="","-",+C136+1)</f>
        <v>2055</v>
      </c>
      <c r="D137" s="346">
        <f>IF(F136+SUM(E$99:E136)=D$92,F136,D$92-SUM(E$99:E136))</f>
        <v>29437</v>
      </c>
      <c r="E137" s="484">
        <f t="shared" si="20"/>
        <v>8070</v>
      </c>
      <c r="F137" s="485">
        <f t="shared" si="21"/>
        <v>21367</v>
      </c>
      <c r="G137" s="485">
        <f t="shared" si="22"/>
        <v>25402</v>
      </c>
      <c r="H137" s="613">
        <f t="shared" si="23"/>
        <v>10960.564528585244</v>
      </c>
      <c r="I137" s="614">
        <f t="shared" si="24"/>
        <v>10960.564528585244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9"/>
        <v/>
      </c>
      <c r="C138" s="472">
        <f>IF(D93="","-",+C137+1)</f>
        <v>2056</v>
      </c>
      <c r="D138" s="346">
        <f>IF(F137+SUM(E$99:E137)=D$92,F137,D$92-SUM(E$99:E137))</f>
        <v>21367</v>
      </c>
      <c r="E138" s="484">
        <f t="shared" si="20"/>
        <v>8070</v>
      </c>
      <c r="F138" s="485">
        <f t="shared" si="21"/>
        <v>13297</v>
      </c>
      <c r="G138" s="485">
        <f t="shared" si="22"/>
        <v>17332</v>
      </c>
      <c r="H138" s="613">
        <f t="shared" si="23"/>
        <v>10042.256688821331</v>
      </c>
      <c r="I138" s="614">
        <f t="shared" si="24"/>
        <v>10042.256688821331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9"/>
        <v/>
      </c>
      <c r="C139" s="472">
        <f>IF(D93="","-",+C138+1)</f>
        <v>2057</v>
      </c>
      <c r="D139" s="346">
        <f>IF(F138+SUM(E$99:E138)=D$92,F138,D$92-SUM(E$99:E138))</f>
        <v>13297</v>
      </c>
      <c r="E139" s="484">
        <f t="shared" si="20"/>
        <v>8070</v>
      </c>
      <c r="F139" s="485">
        <f t="shared" si="21"/>
        <v>5227</v>
      </c>
      <c r="G139" s="485">
        <f t="shared" si="22"/>
        <v>9262</v>
      </c>
      <c r="H139" s="613">
        <f t="shared" si="23"/>
        <v>9123.9488490574186</v>
      </c>
      <c r="I139" s="614">
        <f t="shared" si="24"/>
        <v>9123.9488490574186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9"/>
        <v/>
      </c>
      <c r="C140" s="472">
        <f>IF(D93="","-",+C139+1)</f>
        <v>2058</v>
      </c>
      <c r="D140" s="346">
        <f>IF(F139+SUM(E$99:E139)=D$92,F139,D$92-SUM(E$99:E139))</f>
        <v>5227</v>
      </c>
      <c r="E140" s="484">
        <f t="shared" si="20"/>
        <v>5227</v>
      </c>
      <c r="F140" s="485">
        <f t="shared" si="21"/>
        <v>0</v>
      </c>
      <c r="G140" s="485">
        <f t="shared" si="22"/>
        <v>2613.5</v>
      </c>
      <c r="H140" s="613">
        <f t="shared" si="23"/>
        <v>5524.3974645877306</v>
      </c>
      <c r="I140" s="614">
        <f t="shared" si="24"/>
        <v>5524.3974645877306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9"/>
        <v/>
      </c>
      <c r="C141" s="472">
        <f>IF(D93="","-",+C140+1)</f>
        <v>2059</v>
      </c>
      <c r="D141" s="346">
        <f>IF(F140+SUM(E$99:E140)=D$92,F140,D$92-SUM(E$99:E140))</f>
        <v>0</v>
      </c>
      <c r="E141" s="484">
        <f t="shared" si="20"/>
        <v>0</v>
      </c>
      <c r="F141" s="485">
        <f t="shared" si="21"/>
        <v>0</v>
      </c>
      <c r="G141" s="485">
        <f t="shared" si="22"/>
        <v>0</v>
      </c>
      <c r="H141" s="613">
        <f t="shared" si="23"/>
        <v>0</v>
      </c>
      <c r="I141" s="614">
        <f t="shared" si="24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9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20"/>
        <v>0</v>
      </c>
      <c r="F142" s="485">
        <f t="shared" si="21"/>
        <v>0</v>
      </c>
      <c r="G142" s="485">
        <f t="shared" si="22"/>
        <v>0</v>
      </c>
      <c r="H142" s="613">
        <f t="shared" si="23"/>
        <v>0</v>
      </c>
      <c r="I142" s="614">
        <f t="shared" si="24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9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613">
        <f t="shared" si="23"/>
        <v>0</v>
      </c>
      <c r="I143" s="614">
        <f t="shared" si="24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9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613">
        <f t="shared" si="23"/>
        <v>0</v>
      </c>
      <c r="I144" s="614">
        <f t="shared" si="24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9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613">
        <f t="shared" si="23"/>
        <v>0</v>
      </c>
      <c r="I145" s="614">
        <f t="shared" si="24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9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613">
        <f t="shared" si="23"/>
        <v>0</v>
      </c>
      <c r="I146" s="614">
        <f t="shared" si="24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9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613">
        <f t="shared" si="23"/>
        <v>0</v>
      </c>
      <c r="I147" s="614">
        <f t="shared" si="24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9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613">
        <f t="shared" si="23"/>
        <v>0</v>
      </c>
      <c r="I148" s="614">
        <f t="shared" si="24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9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613">
        <f t="shared" si="23"/>
        <v>0</v>
      </c>
      <c r="I149" s="614">
        <f t="shared" si="24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9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613">
        <f t="shared" si="23"/>
        <v>0</v>
      </c>
      <c r="I150" s="614">
        <f t="shared" si="24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9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613">
        <f t="shared" si="23"/>
        <v>0</v>
      </c>
      <c r="I151" s="614">
        <f t="shared" si="24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9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613">
        <f t="shared" si="23"/>
        <v>0</v>
      </c>
      <c r="I152" s="614">
        <f t="shared" si="24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9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613">
        <f t="shared" si="23"/>
        <v>0</v>
      </c>
      <c r="I153" s="614">
        <f t="shared" si="24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9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615">
        <f t="shared" si="23"/>
        <v>0</v>
      </c>
      <c r="I154" s="616">
        <f t="shared" si="24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330872</v>
      </c>
      <c r="F155" s="347"/>
      <c r="G155" s="347"/>
      <c r="H155" s="347">
        <f>SUM(H99:H154)</f>
        <v>1103746.2975352481</v>
      </c>
      <c r="I155" s="347">
        <f>SUM(I99:I154)</f>
        <v>1103746.2975352481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1"/>
  <dimension ref="A1:P162"/>
  <sheetViews>
    <sheetView view="pageBreakPreview" zoomScale="78" zoomScaleNormal="100" zoomScaleSheetLayoutView="78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22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31890.799977104634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31890.799977104634</v>
      </c>
      <c r="O6" s="232"/>
      <c r="P6" s="232"/>
    </row>
    <row r="7" spans="1:16" ht="13.5" thickBot="1">
      <c r="C7" s="431" t="s">
        <v>46</v>
      </c>
      <c r="D7" s="599" t="s">
        <v>280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301</v>
      </c>
      <c r="E9" s="577" t="s">
        <v>302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244000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6256.4102564102568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2711.1111111111113</v>
      </c>
      <c r="F17" s="584">
        <v>241288.88888888888</v>
      </c>
      <c r="G17" s="608">
        <v>17159.361980055266</v>
      </c>
      <c r="H17" s="587">
        <v>17159.361980055266</v>
      </c>
      <c r="I17" s="475">
        <f t="shared" ref="I17:I72" si="0">H17-G17</f>
        <v>0</v>
      </c>
      <c r="J17" s="475"/>
      <c r="K17" s="554">
        <f>+G17</f>
        <v>17159.361980055266</v>
      </c>
      <c r="L17" s="477">
        <f t="shared" ref="L17:L72" si="1">IF(K17&lt;&gt;0,+G17-K17,0)</f>
        <v>0</v>
      </c>
      <c r="M17" s="554">
        <f>+H17</f>
        <v>17159.361980055266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2019</v>
      </c>
      <c r="D18" s="584">
        <v>241288.88888888888</v>
      </c>
      <c r="E18" s="585">
        <v>6100</v>
      </c>
      <c r="F18" s="584">
        <v>235188.88888888888</v>
      </c>
      <c r="G18" s="585">
        <v>32700.951777404996</v>
      </c>
      <c r="H18" s="587">
        <v>32700.951777404996</v>
      </c>
      <c r="I18" s="475">
        <f t="shared" si="0"/>
        <v>0</v>
      </c>
      <c r="J18" s="475"/>
      <c r="K18" s="478">
        <f>+G18</f>
        <v>32700.951777404996</v>
      </c>
      <c r="L18" s="478">
        <f t="shared" si="1"/>
        <v>0</v>
      </c>
      <c r="M18" s="478">
        <f>+H18</f>
        <v>32700.951777404996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235866.66666666666</v>
      </c>
      <c r="E19" s="585">
        <v>5809.5238095238092</v>
      </c>
      <c r="F19" s="584">
        <v>230057.14285714284</v>
      </c>
      <c r="G19" s="585">
        <v>30970.52236185109</v>
      </c>
      <c r="H19" s="587">
        <v>30970.52236185109</v>
      </c>
      <c r="I19" s="475">
        <f t="shared" si="0"/>
        <v>0</v>
      </c>
      <c r="J19" s="475"/>
      <c r="K19" s="478">
        <f>+G19</f>
        <v>30970.52236185109</v>
      </c>
      <c r="L19" s="478">
        <f t="shared" ref="L19" si="4">IF(K19&lt;&gt;0,+G19-K19,0)</f>
        <v>0</v>
      </c>
      <c r="M19" s="478">
        <f>+H19</f>
        <v>30970.52236185109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584">
        <v>229379.36507936509</v>
      </c>
      <c r="E20" s="585">
        <v>5674.4186046511632</v>
      </c>
      <c r="F20" s="584">
        <v>223704.94647471391</v>
      </c>
      <c r="G20" s="585">
        <v>30100.568065113996</v>
      </c>
      <c r="H20" s="587">
        <v>30100.568065113996</v>
      </c>
      <c r="I20" s="475">
        <f t="shared" si="0"/>
        <v>0</v>
      </c>
      <c r="J20" s="475"/>
      <c r="K20" s="478">
        <f>+G20</f>
        <v>30100.568065113996</v>
      </c>
      <c r="L20" s="478">
        <f t="shared" ref="L20" si="6">IF(K20&lt;&gt;0,+G20-K20,0)</f>
        <v>0</v>
      </c>
      <c r="M20" s="478">
        <f>+H20</f>
        <v>30100.568065113996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584">
        <v>223704.94647471391</v>
      </c>
      <c r="E21" s="585">
        <v>5809.5238095238092</v>
      </c>
      <c r="F21" s="584">
        <v>217895.4226651901</v>
      </c>
      <c r="G21" s="585">
        <v>29614.266782481478</v>
      </c>
      <c r="H21" s="587">
        <v>29614.266782481478</v>
      </c>
      <c r="I21" s="475">
        <f t="shared" si="0"/>
        <v>0</v>
      </c>
      <c r="J21" s="475"/>
      <c r="K21" s="478">
        <f>+G21</f>
        <v>29614.266782481478</v>
      </c>
      <c r="L21" s="478">
        <f t="shared" ref="L21" si="7">IF(K21&lt;&gt;0,+G21-K21,0)</f>
        <v>0</v>
      </c>
      <c r="M21" s="478">
        <f>+H21</f>
        <v>29614.266782481478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217895.4226651901</v>
      </c>
      <c r="E22" s="484">
        <f t="shared" ref="E22:E72" si="8">IF(+I$14&lt;F21,I$14,D22)</f>
        <v>6256.4102564102568</v>
      </c>
      <c r="F22" s="485">
        <f t="shared" ref="F22:F72" si="9">+D22-E22</f>
        <v>211639.01240877985</v>
      </c>
      <c r="G22" s="486">
        <f t="shared" ref="G22:G72" si="10">(D22+F22)/2*I$12+E22</f>
        <v>31890.799977104634</v>
      </c>
      <c r="H22" s="455">
        <f t="shared" ref="H22:H72" si="11">+(D22+F22)/2*I$13+E22</f>
        <v>31890.799977104634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211639.01240877985</v>
      </c>
      <c r="E23" s="484">
        <f t="shared" si="8"/>
        <v>6256.4102564102568</v>
      </c>
      <c r="F23" s="485">
        <f t="shared" si="9"/>
        <v>205382.6021523696</v>
      </c>
      <c r="G23" s="486">
        <f t="shared" si="10"/>
        <v>31144.041414021089</v>
      </c>
      <c r="H23" s="455">
        <f t="shared" si="11"/>
        <v>31144.041414021089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205382.6021523696</v>
      </c>
      <c r="E24" s="484">
        <f t="shared" si="8"/>
        <v>6256.4102564102568</v>
      </c>
      <c r="F24" s="485">
        <f t="shared" si="9"/>
        <v>199126.19189595935</v>
      </c>
      <c r="G24" s="486">
        <f t="shared" si="10"/>
        <v>30397.282850937547</v>
      </c>
      <c r="H24" s="455">
        <f t="shared" si="11"/>
        <v>30397.282850937547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199126.19189595935</v>
      </c>
      <c r="E25" s="484">
        <f t="shared" si="8"/>
        <v>6256.4102564102568</v>
      </c>
      <c r="F25" s="485">
        <f t="shared" si="9"/>
        <v>192869.7816395491</v>
      </c>
      <c r="G25" s="486">
        <f t="shared" si="10"/>
        <v>29650.524287854001</v>
      </c>
      <c r="H25" s="455">
        <f t="shared" si="11"/>
        <v>29650.524287854001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192869.7816395491</v>
      </c>
      <c r="E26" s="484">
        <f t="shared" si="8"/>
        <v>6256.4102564102568</v>
      </c>
      <c r="F26" s="485">
        <f t="shared" si="9"/>
        <v>186613.37138313884</v>
      </c>
      <c r="G26" s="486">
        <f t="shared" si="10"/>
        <v>28903.765724770459</v>
      </c>
      <c r="H26" s="455">
        <f t="shared" si="11"/>
        <v>28903.765724770459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186613.37138313884</v>
      </c>
      <c r="E27" s="484">
        <f t="shared" si="8"/>
        <v>6256.4102564102568</v>
      </c>
      <c r="F27" s="485">
        <f t="shared" si="9"/>
        <v>180356.96112672859</v>
      </c>
      <c r="G27" s="486">
        <f t="shared" si="10"/>
        <v>28157.007161686914</v>
      </c>
      <c r="H27" s="455">
        <f t="shared" si="11"/>
        <v>28157.007161686914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180356.96112672859</v>
      </c>
      <c r="E28" s="484">
        <f t="shared" si="8"/>
        <v>6256.4102564102568</v>
      </c>
      <c r="F28" s="485">
        <f t="shared" si="9"/>
        <v>174100.55087031834</v>
      </c>
      <c r="G28" s="486">
        <f t="shared" si="10"/>
        <v>27410.248598603372</v>
      </c>
      <c r="H28" s="455">
        <f t="shared" si="11"/>
        <v>27410.248598603372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174100.55087031834</v>
      </c>
      <c r="E29" s="484">
        <f t="shared" si="8"/>
        <v>6256.4102564102568</v>
      </c>
      <c r="F29" s="485">
        <f t="shared" si="9"/>
        <v>167844.14061390809</v>
      </c>
      <c r="G29" s="486">
        <f t="shared" si="10"/>
        <v>26663.490035519826</v>
      </c>
      <c r="H29" s="455">
        <f t="shared" si="11"/>
        <v>26663.490035519826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167844.14061390809</v>
      </c>
      <c r="E30" s="484">
        <f t="shared" si="8"/>
        <v>6256.4102564102568</v>
      </c>
      <c r="F30" s="485">
        <f t="shared" si="9"/>
        <v>161587.73035749784</v>
      </c>
      <c r="G30" s="486">
        <f t="shared" si="10"/>
        <v>25916.731472436284</v>
      </c>
      <c r="H30" s="455">
        <f t="shared" si="11"/>
        <v>25916.731472436284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161587.73035749784</v>
      </c>
      <c r="E31" s="484">
        <f t="shared" si="8"/>
        <v>6256.4102564102568</v>
      </c>
      <c r="F31" s="485">
        <f t="shared" si="9"/>
        <v>155331.32010108759</v>
      </c>
      <c r="G31" s="486">
        <f t="shared" si="10"/>
        <v>25169.972909352738</v>
      </c>
      <c r="H31" s="455">
        <f t="shared" si="11"/>
        <v>25169.972909352738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155331.32010108759</v>
      </c>
      <c r="E32" s="484">
        <f t="shared" si="8"/>
        <v>6256.4102564102568</v>
      </c>
      <c r="F32" s="485">
        <f t="shared" si="9"/>
        <v>149074.90984467734</v>
      </c>
      <c r="G32" s="486">
        <f t="shared" si="10"/>
        <v>24423.214346269197</v>
      </c>
      <c r="H32" s="455">
        <f t="shared" si="11"/>
        <v>24423.214346269197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149074.90984467734</v>
      </c>
      <c r="E33" s="484">
        <f t="shared" si="8"/>
        <v>6256.4102564102568</v>
      </c>
      <c r="F33" s="485">
        <f t="shared" si="9"/>
        <v>142818.49958826709</v>
      </c>
      <c r="G33" s="486">
        <f t="shared" si="10"/>
        <v>23676.455783185651</v>
      </c>
      <c r="H33" s="455">
        <f t="shared" si="11"/>
        <v>23676.455783185651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142818.49958826709</v>
      </c>
      <c r="E34" s="484">
        <f t="shared" si="8"/>
        <v>6256.4102564102568</v>
      </c>
      <c r="F34" s="485">
        <f t="shared" si="9"/>
        <v>136562.08933185684</v>
      </c>
      <c r="G34" s="486">
        <f t="shared" si="10"/>
        <v>22929.697220102105</v>
      </c>
      <c r="H34" s="455">
        <f t="shared" si="11"/>
        <v>22929.697220102105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136562.08933185684</v>
      </c>
      <c r="E35" s="484">
        <f t="shared" si="8"/>
        <v>6256.4102564102568</v>
      </c>
      <c r="F35" s="485">
        <f t="shared" si="9"/>
        <v>130305.67907544659</v>
      </c>
      <c r="G35" s="486">
        <f t="shared" si="10"/>
        <v>22182.938657018563</v>
      </c>
      <c r="H35" s="455">
        <f t="shared" si="11"/>
        <v>22182.938657018563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130305.67907544659</v>
      </c>
      <c r="E36" s="484">
        <f t="shared" si="8"/>
        <v>6256.4102564102568</v>
      </c>
      <c r="F36" s="485">
        <f t="shared" si="9"/>
        <v>124049.26881903634</v>
      </c>
      <c r="G36" s="486">
        <f t="shared" si="10"/>
        <v>21436.180093935018</v>
      </c>
      <c r="H36" s="455">
        <f t="shared" si="11"/>
        <v>21436.180093935018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124049.26881903634</v>
      </c>
      <c r="E37" s="484">
        <f t="shared" si="8"/>
        <v>6256.4102564102568</v>
      </c>
      <c r="F37" s="485">
        <f t="shared" si="9"/>
        <v>117792.85856262609</v>
      </c>
      <c r="G37" s="486">
        <f t="shared" si="10"/>
        <v>20689.421530851476</v>
      </c>
      <c r="H37" s="455">
        <f t="shared" si="11"/>
        <v>20689.421530851476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117792.85856262609</v>
      </c>
      <c r="E38" s="484">
        <f t="shared" si="8"/>
        <v>6256.4102564102568</v>
      </c>
      <c r="F38" s="485">
        <f t="shared" si="9"/>
        <v>111536.44830621584</v>
      </c>
      <c r="G38" s="486">
        <f t="shared" si="10"/>
        <v>19942.66296776793</v>
      </c>
      <c r="H38" s="455">
        <f t="shared" si="11"/>
        <v>19942.66296776793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111536.44830621584</v>
      </c>
      <c r="E39" s="484">
        <f t="shared" si="8"/>
        <v>6256.4102564102568</v>
      </c>
      <c r="F39" s="485">
        <f t="shared" si="9"/>
        <v>105280.03804980559</v>
      </c>
      <c r="G39" s="486">
        <f t="shared" si="10"/>
        <v>19195.904404684388</v>
      </c>
      <c r="H39" s="455">
        <f t="shared" si="11"/>
        <v>19195.904404684388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105280.03804980559</v>
      </c>
      <c r="E40" s="484">
        <f t="shared" si="8"/>
        <v>6256.4102564102568</v>
      </c>
      <c r="F40" s="485">
        <f t="shared" si="9"/>
        <v>99023.627793395339</v>
      </c>
      <c r="G40" s="486">
        <f t="shared" si="10"/>
        <v>18449.145841600843</v>
      </c>
      <c r="H40" s="455">
        <f t="shared" si="11"/>
        <v>18449.145841600843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99023.627793395339</v>
      </c>
      <c r="E41" s="484">
        <f t="shared" si="8"/>
        <v>6256.4102564102568</v>
      </c>
      <c r="F41" s="485">
        <f t="shared" si="9"/>
        <v>92767.217536985088</v>
      </c>
      <c r="G41" s="486">
        <f t="shared" si="10"/>
        <v>17702.387278517297</v>
      </c>
      <c r="H41" s="455">
        <f t="shared" si="11"/>
        <v>17702.387278517297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92767.217536985088</v>
      </c>
      <c r="E42" s="484">
        <f t="shared" si="8"/>
        <v>6256.4102564102568</v>
      </c>
      <c r="F42" s="485">
        <f t="shared" si="9"/>
        <v>86510.807280574838</v>
      </c>
      <c r="G42" s="486">
        <f t="shared" si="10"/>
        <v>16955.628715433755</v>
      </c>
      <c r="H42" s="455">
        <f t="shared" si="11"/>
        <v>16955.628715433755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86510.807280574838</v>
      </c>
      <c r="E43" s="484">
        <f t="shared" si="8"/>
        <v>6256.4102564102568</v>
      </c>
      <c r="F43" s="485">
        <f t="shared" si="9"/>
        <v>80254.397024164587</v>
      </c>
      <c r="G43" s="486">
        <f t="shared" si="10"/>
        <v>16208.87015235021</v>
      </c>
      <c r="H43" s="455">
        <f t="shared" si="11"/>
        <v>16208.87015235021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80254.397024164587</v>
      </c>
      <c r="E44" s="484">
        <f t="shared" si="8"/>
        <v>6256.4102564102568</v>
      </c>
      <c r="F44" s="485">
        <f t="shared" si="9"/>
        <v>73997.986767754337</v>
      </c>
      <c r="G44" s="486">
        <f t="shared" si="10"/>
        <v>15462.111589266668</v>
      </c>
      <c r="H44" s="455">
        <f t="shared" si="11"/>
        <v>15462.111589266668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73997.986767754337</v>
      </c>
      <c r="E45" s="484">
        <f t="shared" si="8"/>
        <v>6256.4102564102568</v>
      </c>
      <c r="F45" s="485">
        <f t="shared" si="9"/>
        <v>67741.576511344087</v>
      </c>
      <c r="G45" s="486">
        <f t="shared" si="10"/>
        <v>14715.353026183122</v>
      </c>
      <c r="H45" s="455">
        <f t="shared" si="11"/>
        <v>14715.353026183122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67741.576511344087</v>
      </c>
      <c r="E46" s="484">
        <f t="shared" si="8"/>
        <v>6256.4102564102568</v>
      </c>
      <c r="F46" s="485">
        <f t="shared" si="9"/>
        <v>61485.166254933829</v>
      </c>
      <c r="G46" s="486">
        <f t="shared" si="10"/>
        <v>13968.59446309958</v>
      </c>
      <c r="H46" s="455">
        <f t="shared" si="11"/>
        <v>13968.59446309958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61485.166254933829</v>
      </c>
      <c r="E47" s="484">
        <f t="shared" si="8"/>
        <v>6256.4102564102568</v>
      </c>
      <c r="F47" s="485">
        <f t="shared" si="9"/>
        <v>55228.755998523571</v>
      </c>
      <c r="G47" s="486">
        <f t="shared" si="10"/>
        <v>13221.835900016034</v>
      </c>
      <c r="H47" s="455">
        <f t="shared" si="11"/>
        <v>13221.835900016034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55228.755998523571</v>
      </c>
      <c r="E48" s="484">
        <f t="shared" si="8"/>
        <v>6256.4102564102568</v>
      </c>
      <c r="F48" s="485">
        <f t="shared" si="9"/>
        <v>48972.345742113313</v>
      </c>
      <c r="G48" s="486">
        <f t="shared" si="10"/>
        <v>12475.077336932489</v>
      </c>
      <c r="H48" s="455">
        <f t="shared" si="11"/>
        <v>12475.077336932489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48972.345742113313</v>
      </c>
      <c r="E49" s="484">
        <f t="shared" si="8"/>
        <v>6256.4102564102568</v>
      </c>
      <c r="F49" s="485">
        <f t="shared" si="9"/>
        <v>42715.935485703056</v>
      </c>
      <c r="G49" s="486">
        <f t="shared" si="10"/>
        <v>11728.318773848943</v>
      </c>
      <c r="H49" s="455">
        <f t="shared" si="11"/>
        <v>11728.318773848943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42715.935485703056</v>
      </c>
      <c r="E50" s="484">
        <f t="shared" si="8"/>
        <v>6256.4102564102568</v>
      </c>
      <c r="F50" s="485">
        <f t="shared" si="9"/>
        <v>36459.525229292798</v>
      </c>
      <c r="G50" s="486">
        <f t="shared" si="10"/>
        <v>10981.560210765401</v>
      </c>
      <c r="H50" s="455">
        <f t="shared" si="11"/>
        <v>10981.560210765401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36459.525229292798</v>
      </c>
      <c r="E51" s="484">
        <f t="shared" si="8"/>
        <v>6256.4102564102568</v>
      </c>
      <c r="F51" s="485">
        <f t="shared" si="9"/>
        <v>30203.11497288254</v>
      </c>
      <c r="G51" s="486">
        <f t="shared" si="10"/>
        <v>10234.801647681854</v>
      </c>
      <c r="H51" s="455">
        <f t="shared" si="11"/>
        <v>10234.801647681854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30203.11497288254</v>
      </c>
      <c r="E52" s="484">
        <f t="shared" si="8"/>
        <v>6256.4102564102568</v>
      </c>
      <c r="F52" s="485">
        <f t="shared" si="9"/>
        <v>23946.704716472283</v>
      </c>
      <c r="G52" s="486">
        <f t="shared" si="10"/>
        <v>9488.0430845983101</v>
      </c>
      <c r="H52" s="455">
        <f t="shared" si="11"/>
        <v>9488.0430845983101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23946.704716472283</v>
      </c>
      <c r="E53" s="484">
        <f t="shared" si="8"/>
        <v>6256.4102564102568</v>
      </c>
      <c r="F53" s="485">
        <f t="shared" si="9"/>
        <v>17690.294460062025</v>
      </c>
      <c r="G53" s="486">
        <f t="shared" si="10"/>
        <v>8741.2845215147645</v>
      </c>
      <c r="H53" s="455">
        <f t="shared" si="11"/>
        <v>8741.2845215147645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17690.294460062025</v>
      </c>
      <c r="E54" s="484">
        <f t="shared" si="8"/>
        <v>6256.4102564102568</v>
      </c>
      <c r="F54" s="485">
        <f t="shared" si="9"/>
        <v>11433.884203651767</v>
      </c>
      <c r="G54" s="486">
        <f t="shared" si="10"/>
        <v>7994.5259584312207</v>
      </c>
      <c r="H54" s="455">
        <f t="shared" si="11"/>
        <v>7994.5259584312207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11433.884203651767</v>
      </c>
      <c r="E55" s="484">
        <f t="shared" si="8"/>
        <v>6256.4102564102568</v>
      </c>
      <c r="F55" s="485">
        <f t="shared" si="9"/>
        <v>5177.4739472415104</v>
      </c>
      <c r="G55" s="486">
        <f t="shared" si="10"/>
        <v>7247.767395347676</v>
      </c>
      <c r="H55" s="455">
        <f t="shared" si="11"/>
        <v>7247.767395347676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5177.4739472415104</v>
      </c>
      <c r="E56" s="484">
        <f t="shared" si="8"/>
        <v>5177.4739472415104</v>
      </c>
      <c r="F56" s="485">
        <f t="shared" si="9"/>
        <v>0</v>
      </c>
      <c r="G56" s="486">
        <f t="shared" si="10"/>
        <v>5486.4628759393336</v>
      </c>
      <c r="H56" s="455">
        <f t="shared" si="11"/>
        <v>5486.4628759393336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0</v>
      </c>
      <c r="E57" s="484">
        <f t="shared" si="8"/>
        <v>0</v>
      </c>
      <c r="F57" s="485">
        <f t="shared" si="9"/>
        <v>0</v>
      </c>
      <c r="G57" s="486">
        <f t="shared" si="10"/>
        <v>0</v>
      </c>
      <c r="H57" s="455">
        <f t="shared" si="11"/>
        <v>0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8"/>
        <v>0</v>
      </c>
      <c r="F58" s="485">
        <f t="shared" si="9"/>
        <v>0</v>
      </c>
      <c r="G58" s="486">
        <f t="shared" si="10"/>
        <v>0</v>
      </c>
      <c r="H58" s="455">
        <f t="shared" si="11"/>
        <v>0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 ht="12.5">
      <c r="C73" s="346" t="s">
        <v>77</v>
      </c>
      <c r="D73" s="347"/>
      <c r="E73" s="347">
        <f>SUM(E17:E72)</f>
        <v>243999.99999999997</v>
      </c>
      <c r="F73" s="347"/>
      <c r="G73" s="347">
        <f>SUM(G17:G72)</f>
        <v>811387.77917453554</v>
      </c>
      <c r="H73" s="347">
        <f>SUM(H17:H72)</f>
        <v>811387.77917453554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22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30100.568065113996</v>
      </c>
      <c r="N87" s="508">
        <f>IF(J92&lt;D11,0,VLOOKUP(J92,C17:O72,11))</f>
        <v>30100.568065113996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31732.179671191017</v>
      </c>
      <c r="N88" s="512">
        <f>IF(J92&lt;D11,0,VLOOKUP(J92,C99:P154,7))</f>
        <v>31732.179671191017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Northeastern Station 138 kV Terminal Upgrades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1631.6116060770219</v>
      </c>
      <c r="N89" s="517">
        <f>+N88-N87</f>
        <v>1631.6116060770219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TP2015169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244000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5951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2837</v>
      </c>
      <c r="F99" s="584">
        <v>241163</v>
      </c>
      <c r="G99" s="608">
        <v>120581.5</v>
      </c>
      <c r="H99" s="587">
        <v>15225.00875134001</v>
      </c>
      <c r="I99" s="607">
        <v>15225.00875134001</v>
      </c>
      <c r="J99" s="478">
        <f t="shared" ref="J99:J130" si="12">+I99-H99</f>
        <v>0</v>
      </c>
      <c r="K99" s="478"/>
      <c r="L99" s="477">
        <f>+H99</f>
        <v>15225.00875134001</v>
      </c>
      <c r="M99" s="477">
        <f t="shared" ref="M99" si="13">IF(L99&lt;&gt;0,+H99-L99,0)</f>
        <v>0</v>
      </c>
      <c r="N99" s="477">
        <f>+I99</f>
        <v>15225.00875134001</v>
      </c>
      <c r="O99" s="477">
        <f t="shared" ref="O99" si="14">IF(N99&lt;&gt;0,+I99-N99,0)</f>
        <v>0</v>
      </c>
      <c r="P99" s="477">
        <f t="shared" ref="P99" si="15">+O99-M99</f>
        <v>0</v>
      </c>
    </row>
    <row r="100" spans="1:16" ht="12.5">
      <c r="B100" s="160" t="str">
        <f>IF(D100=F99,"","IU")</f>
        <v/>
      </c>
      <c r="C100" s="472">
        <f>IF(D93="","-",+C99+1)</f>
        <v>2019</v>
      </c>
      <c r="D100" s="578">
        <v>241163</v>
      </c>
      <c r="E100" s="579">
        <v>5951</v>
      </c>
      <c r="F100" s="578">
        <v>235212</v>
      </c>
      <c r="G100" s="579">
        <v>238187.5</v>
      </c>
      <c r="H100" s="602">
        <v>30511.472087080136</v>
      </c>
      <c r="I100" s="578">
        <v>30511.472087080136</v>
      </c>
      <c r="J100" s="478">
        <f t="shared" si="12"/>
        <v>0</v>
      </c>
      <c r="K100" s="478"/>
      <c r="L100" s="476">
        <f>H100</f>
        <v>30511.472087080136</v>
      </c>
      <c r="M100" s="348">
        <f>IF(L100&lt;&gt;0,+H100-L100,0)</f>
        <v>0</v>
      </c>
      <c r="N100" s="476">
        <f>I100</f>
        <v>30511.472087080136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2">
        <f>IF(D93="","-",+C100+1)</f>
        <v>2020</v>
      </c>
      <c r="D101" s="578">
        <v>235212</v>
      </c>
      <c r="E101" s="579">
        <v>5674</v>
      </c>
      <c r="F101" s="578">
        <v>229538</v>
      </c>
      <c r="G101" s="579">
        <v>232375</v>
      </c>
      <c r="H101" s="602">
        <v>32466.198637614907</v>
      </c>
      <c r="I101" s="578">
        <v>32466.198637614907</v>
      </c>
      <c r="J101" s="478">
        <f t="shared" si="12"/>
        <v>0</v>
      </c>
      <c r="K101" s="478"/>
      <c r="L101" s="476">
        <f>H101</f>
        <v>32466.198637614907</v>
      </c>
      <c r="M101" s="348">
        <f>IF(L101&lt;&gt;0,+H101-L101,0)</f>
        <v>0</v>
      </c>
      <c r="N101" s="476">
        <f>I101</f>
        <v>32466.198637614907</v>
      </c>
      <c r="O101" s="478">
        <f t="shared" si="16"/>
        <v>0</v>
      </c>
      <c r="P101" s="478">
        <f t="shared" si="17"/>
        <v>0</v>
      </c>
    </row>
    <row r="102" spans="1:16" ht="12.5">
      <c r="B102" s="160" t="str">
        <f t="shared" si="18"/>
        <v/>
      </c>
      <c r="C102" s="472">
        <f>IF(D93="","-",+C101+1)</f>
        <v>2021</v>
      </c>
      <c r="D102" s="346">
        <f>IF(F101+SUM(E$99:E101)=D$92,F101,D$92-SUM(E$99:E101))</f>
        <v>229538</v>
      </c>
      <c r="E102" s="484">
        <f t="shared" ref="E102:E154" si="19">IF(+J$96&lt;F101,J$96,D102)</f>
        <v>5951</v>
      </c>
      <c r="F102" s="485">
        <f t="shared" ref="F102:F154" si="20">+D102-E102</f>
        <v>223587</v>
      </c>
      <c r="G102" s="485">
        <f t="shared" ref="G102:G154" si="21">+(F102+D102)/2</f>
        <v>226562.5</v>
      </c>
      <c r="H102" s="613">
        <f t="shared" ref="H102:H154" si="22">+J$94*G102+E102</f>
        <v>31732.179671191017</v>
      </c>
      <c r="I102" s="614">
        <f t="shared" ref="I102:I154" si="23">+J$95*G102+E102</f>
        <v>31732.179671191017</v>
      </c>
      <c r="J102" s="478">
        <f t="shared" si="12"/>
        <v>0</v>
      </c>
      <c r="K102" s="478"/>
      <c r="L102" s="487"/>
      <c r="M102" s="478">
        <f t="shared" ref="M102:M130" si="24">IF(L102&lt;&gt;0,+H102-L102,0)</f>
        <v>0</v>
      </c>
      <c r="N102" s="487"/>
      <c r="O102" s="478">
        <f t="shared" si="16"/>
        <v>0</v>
      </c>
      <c r="P102" s="478">
        <f t="shared" si="17"/>
        <v>0</v>
      </c>
    </row>
    <row r="103" spans="1:16" ht="12.5">
      <c r="B103" s="160" t="str">
        <f t="shared" si="18"/>
        <v/>
      </c>
      <c r="C103" s="472">
        <f>IF(D93="","-",+C102+1)</f>
        <v>2022</v>
      </c>
      <c r="D103" s="346">
        <f>IF(F102+SUM(E$99:E102)=D$92,F102,D$92-SUM(E$99:E102))</f>
        <v>223587</v>
      </c>
      <c r="E103" s="484">
        <f t="shared" si="19"/>
        <v>5951</v>
      </c>
      <c r="F103" s="485">
        <f t="shared" si="20"/>
        <v>217636</v>
      </c>
      <c r="G103" s="485">
        <f t="shared" si="21"/>
        <v>220611.5</v>
      </c>
      <c r="H103" s="613">
        <f t="shared" si="22"/>
        <v>31054.998759860777</v>
      </c>
      <c r="I103" s="614">
        <f t="shared" si="23"/>
        <v>31054.998759860777</v>
      </c>
      <c r="J103" s="478">
        <f t="shared" si="12"/>
        <v>0</v>
      </c>
      <c r="K103" s="478"/>
      <c r="L103" s="487"/>
      <c r="M103" s="478">
        <f t="shared" si="24"/>
        <v>0</v>
      </c>
      <c r="N103" s="487"/>
      <c r="O103" s="478">
        <f t="shared" si="16"/>
        <v>0</v>
      </c>
      <c r="P103" s="478">
        <f t="shared" si="17"/>
        <v>0</v>
      </c>
    </row>
    <row r="104" spans="1:16" ht="12.5">
      <c r="B104" s="160" t="str">
        <f t="shared" si="18"/>
        <v/>
      </c>
      <c r="C104" s="472">
        <f>IF(D93="","-",+C103+1)</f>
        <v>2023</v>
      </c>
      <c r="D104" s="346">
        <f>IF(F103+SUM(E$99:E103)=D$92,F103,D$92-SUM(E$99:E103))</f>
        <v>217636</v>
      </c>
      <c r="E104" s="484">
        <f t="shared" si="19"/>
        <v>5951</v>
      </c>
      <c r="F104" s="485">
        <f t="shared" si="20"/>
        <v>211685</v>
      </c>
      <c r="G104" s="485">
        <f t="shared" si="21"/>
        <v>214660.5</v>
      </c>
      <c r="H104" s="613">
        <f t="shared" si="22"/>
        <v>30377.817848530536</v>
      </c>
      <c r="I104" s="614">
        <f t="shared" si="23"/>
        <v>30377.817848530536</v>
      </c>
      <c r="J104" s="478">
        <f t="shared" si="12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 ht="12.5">
      <c r="B105" s="160" t="str">
        <f t="shared" si="18"/>
        <v/>
      </c>
      <c r="C105" s="472">
        <f>IF(D93="","-",+C104+1)</f>
        <v>2024</v>
      </c>
      <c r="D105" s="346">
        <f>IF(F104+SUM(E$99:E104)=D$92,F104,D$92-SUM(E$99:E104))</f>
        <v>211685</v>
      </c>
      <c r="E105" s="484">
        <f t="shared" si="19"/>
        <v>5951</v>
      </c>
      <c r="F105" s="485">
        <f t="shared" si="20"/>
        <v>205734</v>
      </c>
      <c r="G105" s="485">
        <f t="shared" si="21"/>
        <v>208709.5</v>
      </c>
      <c r="H105" s="613">
        <f t="shared" si="22"/>
        <v>29700.636937200296</v>
      </c>
      <c r="I105" s="614">
        <f t="shared" si="23"/>
        <v>29700.636937200296</v>
      </c>
      <c r="J105" s="478">
        <f t="shared" si="12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 ht="12.5">
      <c r="B106" s="160" t="str">
        <f t="shared" si="18"/>
        <v/>
      </c>
      <c r="C106" s="472">
        <f>IF(D93="","-",+C105+1)</f>
        <v>2025</v>
      </c>
      <c r="D106" s="346">
        <f>IF(F105+SUM(E$99:E105)=D$92,F105,D$92-SUM(E$99:E105))</f>
        <v>205734</v>
      </c>
      <c r="E106" s="484">
        <f t="shared" si="19"/>
        <v>5951</v>
      </c>
      <c r="F106" s="485">
        <f t="shared" si="20"/>
        <v>199783</v>
      </c>
      <c r="G106" s="485">
        <f t="shared" si="21"/>
        <v>202758.5</v>
      </c>
      <c r="H106" s="613">
        <f t="shared" si="22"/>
        <v>29023.456025870055</v>
      </c>
      <c r="I106" s="614">
        <f t="shared" si="23"/>
        <v>29023.456025870055</v>
      </c>
      <c r="J106" s="478">
        <f t="shared" si="12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 ht="12.5">
      <c r="B107" s="160" t="str">
        <f t="shared" si="18"/>
        <v/>
      </c>
      <c r="C107" s="472">
        <f>IF(D93="","-",+C106+1)</f>
        <v>2026</v>
      </c>
      <c r="D107" s="346">
        <f>IF(F106+SUM(E$99:E106)=D$92,F106,D$92-SUM(E$99:E106))</f>
        <v>199783</v>
      </c>
      <c r="E107" s="484">
        <f t="shared" si="19"/>
        <v>5951</v>
      </c>
      <c r="F107" s="485">
        <f t="shared" si="20"/>
        <v>193832</v>
      </c>
      <c r="G107" s="485">
        <f t="shared" si="21"/>
        <v>196807.5</v>
      </c>
      <c r="H107" s="613">
        <f t="shared" si="22"/>
        <v>28346.275114539814</v>
      </c>
      <c r="I107" s="614">
        <f t="shared" si="23"/>
        <v>28346.275114539814</v>
      </c>
      <c r="J107" s="478">
        <f t="shared" si="12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 ht="12.5">
      <c r="B108" s="160" t="str">
        <f t="shared" si="18"/>
        <v/>
      </c>
      <c r="C108" s="472">
        <f>IF(D93="","-",+C107+1)</f>
        <v>2027</v>
      </c>
      <c r="D108" s="346">
        <f>IF(F107+SUM(E$99:E107)=D$92,F107,D$92-SUM(E$99:E107))</f>
        <v>193832</v>
      </c>
      <c r="E108" s="484">
        <f t="shared" si="19"/>
        <v>5951</v>
      </c>
      <c r="F108" s="485">
        <f t="shared" si="20"/>
        <v>187881</v>
      </c>
      <c r="G108" s="485">
        <f t="shared" si="21"/>
        <v>190856.5</v>
      </c>
      <c r="H108" s="613">
        <f t="shared" si="22"/>
        <v>27669.094203209574</v>
      </c>
      <c r="I108" s="614">
        <f t="shared" si="23"/>
        <v>27669.094203209574</v>
      </c>
      <c r="J108" s="478">
        <f t="shared" si="12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 ht="12.5">
      <c r="B109" s="160" t="str">
        <f t="shared" si="18"/>
        <v/>
      </c>
      <c r="C109" s="472">
        <f>IF(D93="","-",+C108+1)</f>
        <v>2028</v>
      </c>
      <c r="D109" s="346">
        <f>IF(F108+SUM(E$99:E108)=D$92,F108,D$92-SUM(E$99:E108))</f>
        <v>187881</v>
      </c>
      <c r="E109" s="484">
        <f t="shared" si="19"/>
        <v>5951</v>
      </c>
      <c r="F109" s="485">
        <f t="shared" si="20"/>
        <v>181930</v>
      </c>
      <c r="G109" s="485">
        <f t="shared" si="21"/>
        <v>184905.5</v>
      </c>
      <c r="H109" s="613">
        <f t="shared" si="22"/>
        <v>26991.913291879329</v>
      </c>
      <c r="I109" s="614">
        <f t="shared" si="23"/>
        <v>26991.913291879329</v>
      </c>
      <c r="J109" s="478">
        <f t="shared" si="12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 ht="12.5">
      <c r="B110" s="160" t="str">
        <f t="shared" si="18"/>
        <v/>
      </c>
      <c r="C110" s="472">
        <f>IF(D93="","-",+C109+1)</f>
        <v>2029</v>
      </c>
      <c r="D110" s="346">
        <f>IF(F109+SUM(E$99:E109)=D$92,F109,D$92-SUM(E$99:E109))</f>
        <v>181930</v>
      </c>
      <c r="E110" s="484">
        <f t="shared" si="19"/>
        <v>5951</v>
      </c>
      <c r="F110" s="485">
        <f t="shared" si="20"/>
        <v>175979</v>
      </c>
      <c r="G110" s="485">
        <f t="shared" si="21"/>
        <v>178954.5</v>
      </c>
      <c r="H110" s="613">
        <f t="shared" si="22"/>
        <v>26314.732380549089</v>
      </c>
      <c r="I110" s="614">
        <f t="shared" si="23"/>
        <v>26314.732380549089</v>
      </c>
      <c r="J110" s="478">
        <f t="shared" si="12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 ht="12.5">
      <c r="B111" s="160" t="str">
        <f t="shared" si="18"/>
        <v/>
      </c>
      <c r="C111" s="472">
        <f>IF(D93="","-",+C110+1)</f>
        <v>2030</v>
      </c>
      <c r="D111" s="346">
        <f>IF(F110+SUM(E$99:E110)=D$92,F110,D$92-SUM(E$99:E110))</f>
        <v>175979</v>
      </c>
      <c r="E111" s="484">
        <f t="shared" si="19"/>
        <v>5951</v>
      </c>
      <c r="F111" s="485">
        <f t="shared" si="20"/>
        <v>170028</v>
      </c>
      <c r="G111" s="485">
        <f t="shared" si="21"/>
        <v>173003.5</v>
      </c>
      <c r="H111" s="613">
        <f t="shared" si="22"/>
        <v>25637.551469218848</v>
      </c>
      <c r="I111" s="614">
        <f t="shared" si="23"/>
        <v>25637.551469218848</v>
      </c>
      <c r="J111" s="478">
        <f t="shared" si="12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 ht="12.5">
      <c r="B112" s="160" t="str">
        <f t="shared" si="18"/>
        <v/>
      </c>
      <c r="C112" s="472">
        <f>IF(D93="","-",+C111+1)</f>
        <v>2031</v>
      </c>
      <c r="D112" s="346">
        <f>IF(F111+SUM(E$99:E111)=D$92,F111,D$92-SUM(E$99:E111))</f>
        <v>170028</v>
      </c>
      <c r="E112" s="484">
        <f t="shared" si="19"/>
        <v>5951</v>
      </c>
      <c r="F112" s="485">
        <f t="shared" si="20"/>
        <v>164077</v>
      </c>
      <c r="G112" s="485">
        <f t="shared" si="21"/>
        <v>167052.5</v>
      </c>
      <c r="H112" s="613">
        <f t="shared" si="22"/>
        <v>24960.370557888607</v>
      </c>
      <c r="I112" s="614">
        <f t="shared" si="23"/>
        <v>24960.370557888607</v>
      </c>
      <c r="J112" s="478">
        <f t="shared" si="12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 ht="12.5">
      <c r="B113" s="160" t="str">
        <f t="shared" si="18"/>
        <v/>
      </c>
      <c r="C113" s="472">
        <f>IF(D93="","-",+C112+1)</f>
        <v>2032</v>
      </c>
      <c r="D113" s="346">
        <f>IF(F112+SUM(E$99:E112)=D$92,F112,D$92-SUM(E$99:E112))</f>
        <v>164077</v>
      </c>
      <c r="E113" s="484">
        <f t="shared" si="19"/>
        <v>5951</v>
      </c>
      <c r="F113" s="485">
        <f t="shared" si="20"/>
        <v>158126</v>
      </c>
      <c r="G113" s="485">
        <f t="shared" si="21"/>
        <v>161101.5</v>
      </c>
      <c r="H113" s="613">
        <f t="shared" si="22"/>
        <v>24283.189646558367</v>
      </c>
      <c r="I113" s="614">
        <f t="shared" si="23"/>
        <v>24283.189646558367</v>
      </c>
      <c r="J113" s="478">
        <f t="shared" si="12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 ht="12.5">
      <c r="B114" s="160" t="str">
        <f t="shared" si="18"/>
        <v/>
      </c>
      <c r="C114" s="472">
        <f>IF(D93="","-",+C113+1)</f>
        <v>2033</v>
      </c>
      <c r="D114" s="346">
        <f>IF(F113+SUM(E$99:E113)=D$92,F113,D$92-SUM(E$99:E113))</f>
        <v>158126</v>
      </c>
      <c r="E114" s="484">
        <f t="shared" si="19"/>
        <v>5951</v>
      </c>
      <c r="F114" s="485">
        <f t="shared" si="20"/>
        <v>152175</v>
      </c>
      <c r="G114" s="485">
        <f t="shared" si="21"/>
        <v>155150.5</v>
      </c>
      <c r="H114" s="613">
        <f t="shared" si="22"/>
        <v>23606.008735228126</v>
      </c>
      <c r="I114" s="614">
        <f t="shared" si="23"/>
        <v>23606.008735228126</v>
      </c>
      <c r="J114" s="478">
        <f t="shared" si="12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 ht="12.5">
      <c r="B115" s="160" t="str">
        <f t="shared" si="18"/>
        <v/>
      </c>
      <c r="C115" s="472">
        <f>IF(D93="","-",+C114+1)</f>
        <v>2034</v>
      </c>
      <c r="D115" s="346">
        <f>IF(F114+SUM(E$99:E114)=D$92,F114,D$92-SUM(E$99:E114))</f>
        <v>152175</v>
      </c>
      <c r="E115" s="484">
        <f t="shared" si="19"/>
        <v>5951</v>
      </c>
      <c r="F115" s="485">
        <f t="shared" si="20"/>
        <v>146224</v>
      </c>
      <c r="G115" s="485">
        <f t="shared" si="21"/>
        <v>149199.5</v>
      </c>
      <c r="H115" s="613">
        <f t="shared" si="22"/>
        <v>22928.827823897886</v>
      </c>
      <c r="I115" s="614">
        <f t="shared" si="23"/>
        <v>22928.827823897886</v>
      </c>
      <c r="J115" s="478">
        <f t="shared" si="12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 ht="12.5">
      <c r="B116" s="160" t="str">
        <f t="shared" si="18"/>
        <v/>
      </c>
      <c r="C116" s="472">
        <f>IF(D93="","-",+C115+1)</f>
        <v>2035</v>
      </c>
      <c r="D116" s="346">
        <f>IF(F115+SUM(E$99:E115)=D$92,F115,D$92-SUM(E$99:E115))</f>
        <v>146224</v>
      </c>
      <c r="E116" s="484">
        <f t="shared" si="19"/>
        <v>5951</v>
      </c>
      <c r="F116" s="485">
        <f t="shared" si="20"/>
        <v>140273</v>
      </c>
      <c r="G116" s="485">
        <f t="shared" si="21"/>
        <v>143248.5</v>
      </c>
      <c r="H116" s="613">
        <f t="shared" si="22"/>
        <v>22251.646912567645</v>
      </c>
      <c r="I116" s="614">
        <f t="shared" si="23"/>
        <v>22251.646912567645</v>
      </c>
      <c r="J116" s="478">
        <f t="shared" si="12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 ht="12.5">
      <c r="B117" s="160" t="str">
        <f t="shared" si="18"/>
        <v/>
      </c>
      <c r="C117" s="472">
        <f>IF(D93="","-",+C116+1)</f>
        <v>2036</v>
      </c>
      <c r="D117" s="346">
        <f>IF(F116+SUM(E$99:E116)=D$92,F116,D$92-SUM(E$99:E116))</f>
        <v>140273</v>
      </c>
      <c r="E117" s="484">
        <f t="shared" si="19"/>
        <v>5951</v>
      </c>
      <c r="F117" s="485">
        <f t="shared" si="20"/>
        <v>134322</v>
      </c>
      <c r="G117" s="485">
        <f t="shared" si="21"/>
        <v>137297.5</v>
      </c>
      <c r="H117" s="613">
        <f t="shared" si="22"/>
        <v>21574.466001237401</v>
      </c>
      <c r="I117" s="614">
        <f t="shared" si="23"/>
        <v>21574.466001237401</v>
      </c>
      <c r="J117" s="478">
        <f t="shared" si="12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 ht="12.5">
      <c r="B118" s="160" t="str">
        <f t="shared" si="18"/>
        <v/>
      </c>
      <c r="C118" s="472">
        <f>IF(D93="","-",+C117+1)</f>
        <v>2037</v>
      </c>
      <c r="D118" s="346">
        <f>IF(F117+SUM(E$99:E117)=D$92,F117,D$92-SUM(E$99:E117))</f>
        <v>134322</v>
      </c>
      <c r="E118" s="484">
        <f t="shared" si="19"/>
        <v>5951</v>
      </c>
      <c r="F118" s="485">
        <f t="shared" si="20"/>
        <v>128371</v>
      </c>
      <c r="G118" s="485">
        <f t="shared" si="21"/>
        <v>131346.5</v>
      </c>
      <c r="H118" s="613">
        <f t="shared" si="22"/>
        <v>20897.285089907164</v>
      </c>
      <c r="I118" s="614">
        <f t="shared" si="23"/>
        <v>20897.285089907164</v>
      </c>
      <c r="J118" s="478">
        <f t="shared" si="12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 ht="12.5">
      <c r="B119" s="160" t="str">
        <f t="shared" si="18"/>
        <v/>
      </c>
      <c r="C119" s="472">
        <f>IF(D93="","-",+C118+1)</f>
        <v>2038</v>
      </c>
      <c r="D119" s="346">
        <f>IF(F118+SUM(E$99:E118)=D$92,F118,D$92-SUM(E$99:E118))</f>
        <v>128371</v>
      </c>
      <c r="E119" s="484">
        <f t="shared" si="19"/>
        <v>5951</v>
      </c>
      <c r="F119" s="485">
        <f t="shared" si="20"/>
        <v>122420</v>
      </c>
      <c r="G119" s="485">
        <f t="shared" si="21"/>
        <v>125395.5</v>
      </c>
      <c r="H119" s="613">
        <f t="shared" si="22"/>
        <v>20220.104178576919</v>
      </c>
      <c r="I119" s="614">
        <f t="shared" si="23"/>
        <v>20220.104178576919</v>
      </c>
      <c r="J119" s="478">
        <f t="shared" si="12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 ht="12.5">
      <c r="B120" s="160" t="str">
        <f t="shared" si="18"/>
        <v/>
      </c>
      <c r="C120" s="472">
        <f>IF(D93="","-",+C119+1)</f>
        <v>2039</v>
      </c>
      <c r="D120" s="346">
        <f>IF(F119+SUM(E$99:E119)=D$92,F119,D$92-SUM(E$99:E119))</f>
        <v>122420</v>
      </c>
      <c r="E120" s="484">
        <f t="shared" si="19"/>
        <v>5951</v>
      </c>
      <c r="F120" s="485">
        <f t="shared" si="20"/>
        <v>116469</v>
      </c>
      <c r="G120" s="485">
        <f t="shared" si="21"/>
        <v>119444.5</v>
      </c>
      <c r="H120" s="613">
        <f t="shared" si="22"/>
        <v>19542.923267246679</v>
      </c>
      <c r="I120" s="614">
        <f t="shared" si="23"/>
        <v>19542.923267246679</v>
      </c>
      <c r="J120" s="478">
        <f t="shared" si="12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 ht="12.5">
      <c r="B121" s="160" t="str">
        <f t="shared" si="18"/>
        <v/>
      </c>
      <c r="C121" s="472">
        <f>IF(D93="","-",+C120+1)</f>
        <v>2040</v>
      </c>
      <c r="D121" s="346">
        <f>IF(F120+SUM(E$99:E120)=D$92,F120,D$92-SUM(E$99:E120))</f>
        <v>116469</v>
      </c>
      <c r="E121" s="484">
        <f t="shared" si="19"/>
        <v>5951</v>
      </c>
      <c r="F121" s="485">
        <f t="shared" si="20"/>
        <v>110518</v>
      </c>
      <c r="G121" s="485">
        <f t="shared" si="21"/>
        <v>113493.5</v>
      </c>
      <c r="H121" s="613">
        <f t="shared" si="22"/>
        <v>18865.742355916438</v>
      </c>
      <c r="I121" s="614">
        <f t="shared" si="23"/>
        <v>18865.742355916438</v>
      </c>
      <c r="J121" s="478">
        <f t="shared" si="12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 ht="12.5">
      <c r="B122" s="160" t="str">
        <f t="shared" si="18"/>
        <v/>
      </c>
      <c r="C122" s="472">
        <f>IF(D93="","-",+C121+1)</f>
        <v>2041</v>
      </c>
      <c r="D122" s="346">
        <f>IF(F121+SUM(E$99:E121)=D$92,F121,D$92-SUM(E$99:E121))</f>
        <v>110518</v>
      </c>
      <c r="E122" s="484">
        <f t="shared" si="19"/>
        <v>5951</v>
      </c>
      <c r="F122" s="485">
        <f t="shared" si="20"/>
        <v>104567</v>
      </c>
      <c r="G122" s="485">
        <f t="shared" si="21"/>
        <v>107542.5</v>
      </c>
      <c r="H122" s="613">
        <f t="shared" si="22"/>
        <v>18188.561444586194</v>
      </c>
      <c r="I122" s="614">
        <f t="shared" si="23"/>
        <v>18188.561444586194</v>
      </c>
      <c r="J122" s="478">
        <f t="shared" si="12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 ht="12.5">
      <c r="B123" s="160" t="str">
        <f t="shared" si="18"/>
        <v/>
      </c>
      <c r="C123" s="472">
        <f>IF(D93="","-",+C122+1)</f>
        <v>2042</v>
      </c>
      <c r="D123" s="346">
        <f>IF(F122+SUM(E$99:E122)=D$92,F122,D$92-SUM(E$99:E122))</f>
        <v>104567</v>
      </c>
      <c r="E123" s="484">
        <f t="shared" si="19"/>
        <v>5951</v>
      </c>
      <c r="F123" s="485">
        <f t="shared" si="20"/>
        <v>98616</v>
      </c>
      <c r="G123" s="485">
        <f t="shared" si="21"/>
        <v>101591.5</v>
      </c>
      <c r="H123" s="613">
        <f t="shared" si="22"/>
        <v>17511.380533255957</v>
      </c>
      <c r="I123" s="614">
        <f t="shared" si="23"/>
        <v>17511.380533255957</v>
      </c>
      <c r="J123" s="478">
        <f t="shared" si="12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 ht="12.5">
      <c r="B124" s="160" t="str">
        <f t="shared" si="18"/>
        <v/>
      </c>
      <c r="C124" s="472">
        <f>IF(D93="","-",+C123+1)</f>
        <v>2043</v>
      </c>
      <c r="D124" s="346">
        <f>IF(F123+SUM(E$99:E123)=D$92,F123,D$92-SUM(E$99:E123))</f>
        <v>98616</v>
      </c>
      <c r="E124" s="484">
        <f t="shared" si="19"/>
        <v>5951</v>
      </c>
      <c r="F124" s="485">
        <f t="shared" si="20"/>
        <v>92665</v>
      </c>
      <c r="G124" s="485">
        <f t="shared" si="21"/>
        <v>95640.5</v>
      </c>
      <c r="H124" s="613">
        <f t="shared" si="22"/>
        <v>16834.199621925713</v>
      </c>
      <c r="I124" s="614">
        <f t="shared" si="23"/>
        <v>16834.199621925713</v>
      </c>
      <c r="J124" s="478">
        <f t="shared" si="12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 ht="12.5">
      <c r="B125" s="160" t="str">
        <f t="shared" si="18"/>
        <v/>
      </c>
      <c r="C125" s="472">
        <f>IF(D93="","-",+C124+1)</f>
        <v>2044</v>
      </c>
      <c r="D125" s="346">
        <f>IF(F124+SUM(E$99:E124)=D$92,F124,D$92-SUM(E$99:E124))</f>
        <v>92665</v>
      </c>
      <c r="E125" s="484">
        <f t="shared" si="19"/>
        <v>5951</v>
      </c>
      <c r="F125" s="485">
        <f t="shared" si="20"/>
        <v>86714</v>
      </c>
      <c r="G125" s="485">
        <f t="shared" si="21"/>
        <v>89689.5</v>
      </c>
      <c r="H125" s="613">
        <f t="shared" si="22"/>
        <v>16157.018710595474</v>
      </c>
      <c r="I125" s="614">
        <f t="shared" si="23"/>
        <v>16157.018710595474</v>
      </c>
      <c r="J125" s="478">
        <f t="shared" si="12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 ht="12.5">
      <c r="B126" s="160" t="str">
        <f t="shared" si="18"/>
        <v/>
      </c>
      <c r="C126" s="472">
        <f>IF(D93="","-",+C125+1)</f>
        <v>2045</v>
      </c>
      <c r="D126" s="346">
        <f>IF(F125+SUM(E$99:E125)=D$92,F125,D$92-SUM(E$99:E125))</f>
        <v>86714</v>
      </c>
      <c r="E126" s="484">
        <f t="shared" si="19"/>
        <v>5951</v>
      </c>
      <c r="F126" s="485">
        <f t="shared" si="20"/>
        <v>80763</v>
      </c>
      <c r="G126" s="485">
        <f t="shared" si="21"/>
        <v>83738.5</v>
      </c>
      <c r="H126" s="613">
        <f t="shared" si="22"/>
        <v>15479.837799265231</v>
      </c>
      <c r="I126" s="614">
        <f t="shared" si="23"/>
        <v>15479.837799265231</v>
      </c>
      <c r="J126" s="478">
        <f t="shared" si="12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 ht="12.5">
      <c r="B127" s="160" t="str">
        <f t="shared" si="18"/>
        <v/>
      </c>
      <c r="C127" s="472">
        <f>IF(D93="","-",+C126+1)</f>
        <v>2046</v>
      </c>
      <c r="D127" s="346">
        <f>IF(F126+SUM(E$99:E126)=D$92,F126,D$92-SUM(E$99:E126))</f>
        <v>80763</v>
      </c>
      <c r="E127" s="484">
        <f t="shared" si="19"/>
        <v>5951</v>
      </c>
      <c r="F127" s="485">
        <f t="shared" si="20"/>
        <v>74812</v>
      </c>
      <c r="G127" s="485">
        <f t="shared" si="21"/>
        <v>77787.5</v>
      </c>
      <c r="H127" s="613">
        <f t="shared" si="22"/>
        <v>14802.656887934991</v>
      </c>
      <c r="I127" s="614">
        <f t="shared" si="23"/>
        <v>14802.656887934991</v>
      </c>
      <c r="J127" s="478">
        <f t="shared" si="12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 ht="12.5">
      <c r="B128" s="160" t="str">
        <f t="shared" si="18"/>
        <v/>
      </c>
      <c r="C128" s="472">
        <f>IF(D93="","-",+C127+1)</f>
        <v>2047</v>
      </c>
      <c r="D128" s="346">
        <f>IF(F127+SUM(E$99:E127)=D$92,F127,D$92-SUM(E$99:E127))</f>
        <v>74812</v>
      </c>
      <c r="E128" s="484">
        <f t="shared" si="19"/>
        <v>5951</v>
      </c>
      <c r="F128" s="485">
        <f t="shared" si="20"/>
        <v>68861</v>
      </c>
      <c r="G128" s="485">
        <f t="shared" si="21"/>
        <v>71836.5</v>
      </c>
      <c r="H128" s="613">
        <f t="shared" si="22"/>
        <v>14125.47597660475</v>
      </c>
      <c r="I128" s="614">
        <f t="shared" si="23"/>
        <v>14125.47597660475</v>
      </c>
      <c r="J128" s="478">
        <f t="shared" si="12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 ht="12.5">
      <c r="B129" s="160" t="str">
        <f t="shared" si="18"/>
        <v/>
      </c>
      <c r="C129" s="472">
        <f>IF(D93="","-",+C128+1)</f>
        <v>2048</v>
      </c>
      <c r="D129" s="346">
        <f>IF(F128+SUM(E$99:E128)=D$92,F128,D$92-SUM(E$99:E128))</f>
        <v>68861</v>
      </c>
      <c r="E129" s="484">
        <f t="shared" si="19"/>
        <v>5951</v>
      </c>
      <c r="F129" s="485">
        <f t="shared" si="20"/>
        <v>62910</v>
      </c>
      <c r="G129" s="485">
        <f t="shared" si="21"/>
        <v>65885.5</v>
      </c>
      <c r="H129" s="613">
        <f t="shared" si="22"/>
        <v>13448.295065274509</v>
      </c>
      <c r="I129" s="614">
        <f t="shared" si="23"/>
        <v>13448.295065274509</v>
      </c>
      <c r="J129" s="478">
        <f t="shared" si="12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 ht="12.5">
      <c r="B130" s="160" t="str">
        <f t="shared" si="18"/>
        <v/>
      </c>
      <c r="C130" s="472">
        <f>IF(D93="","-",+C129+1)</f>
        <v>2049</v>
      </c>
      <c r="D130" s="346">
        <f>IF(F129+SUM(E$99:E129)=D$92,F129,D$92-SUM(E$99:E129))</f>
        <v>62910</v>
      </c>
      <c r="E130" s="484">
        <f t="shared" si="19"/>
        <v>5951</v>
      </c>
      <c r="F130" s="485">
        <f t="shared" si="20"/>
        <v>56959</v>
      </c>
      <c r="G130" s="485">
        <f t="shared" si="21"/>
        <v>59934.5</v>
      </c>
      <c r="H130" s="613">
        <f t="shared" si="22"/>
        <v>12771.114153944269</v>
      </c>
      <c r="I130" s="614">
        <f t="shared" si="23"/>
        <v>12771.114153944269</v>
      </c>
      <c r="J130" s="478">
        <f t="shared" si="12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 ht="12.5">
      <c r="B131" s="160" t="str">
        <f t="shared" si="18"/>
        <v/>
      </c>
      <c r="C131" s="472">
        <f>IF(D93="","-",+C130+1)</f>
        <v>2050</v>
      </c>
      <c r="D131" s="346">
        <f>IF(F130+SUM(E$99:E130)=D$92,F130,D$92-SUM(E$99:E130))</f>
        <v>56959</v>
      </c>
      <c r="E131" s="484">
        <f t="shared" si="19"/>
        <v>5951</v>
      </c>
      <c r="F131" s="485">
        <f t="shared" si="20"/>
        <v>51008</v>
      </c>
      <c r="G131" s="485">
        <f t="shared" si="21"/>
        <v>53983.5</v>
      </c>
      <c r="H131" s="613">
        <f t="shared" si="22"/>
        <v>12093.933242614026</v>
      </c>
      <c r="I131" s="614">
        <f t="shared" si="23"/>
        <v>12093.933242614026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8"/>
        <v/>
      </c>
      <c r="C132" s="472">
        <f>IF(D93="","-",+C131+1)</f>
        <v>2051</v>
      </c>
      <c r="D132" s="346">
        <f>IF(F131+SUM(E$99:E131)=D$92,F131,D$92-SUM(E$99:E131))</f>
        <v>51008</v>
      </c>
      <c r="E132" s="484">
        <f t="shared" si="19"/>
        <v>5951</v>
      </c>
      <c r="F132" s="485">
        <f t="shared" si="20"/>
        <v>45057</v>
      </c>
      <c r="G132" s="485">
        <f t="shared" si="21"/>
        <v>48032.5</v>
      </c>
      <c r="H132" s="613">
        <f t="shared" si="22"/>
        <v>11416.752331283786</v>
      </c>
      <c r="I132" s="614">
        <f t="shared" si="23"/>
        <v>11416.752331283786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8"/>
        <v/>
      </c>
      <c r="C133" s="472">
        <f>IF(D93="","-",+C132+1)</f>
        <v>2052</v>
      </c>
      <c r="D133" s="346">
        <f>IF(F132+SUM(E$99:E132)=D$92,F132,D$92-SUM(E$99:E132))</f>
        <v>45057</v>
      </c>
      <c r="E133" s="484">
        <f t="shared" si="19"/>
        <v>5951</v>
      </c>
      <c r="F133" s="485">
        <f t="shared" si="20"/>
        <v>39106</v>
      </c>
      <c r="G133" s="485">
        <f t="shared" si="21"/>
        <v>42081.5</v>
      </c>
      <c r="H133" s="613">
        <f t="shared" si="22"/>
        <v>10739.571419953543</v>
      </c>
      <c r="I133" s="614">
        <f t="shared" si="23"/>
        <v>10739.571419953543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8"/>
        <v/>
      </c>
      <c r="C134" s="472">
        <f>IF(D93="","-",+C133+1)</f>
        <v>2053</v>
      </c>
      <c r="D134" s="346">
        <f>IF(F133+SUM(E$99:E133)=D$92,F133,D$92-SUM(E$99:E133))</f>
        <v>39106</v>
      </c>
      <c r="E134" s="484">
        <f t="shared" si="19"/>
        <v>5951</v>
      </c>
      <c r="F134" s="485">
        <f t="shared" si="20"/>
        <v>33155</v>
      </c>
      <c r="G134" s="485">
        <f t="shared" si="21"/>
        <v>36130.5</v>
      </c>
      <c r="H134" s="613">
        <f t="shared" si="22"/>
        <v>10062.390508623303</v>
      </c>
      <c r="I134" s="614">
        <f t="shared" si="23"/>
        <v>10062.390508623303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8"/>
        <v/>
      </c>
      <c r="C135" s="472">
        <f>IF(D93="","-",+C134+1)</f>
        <v>2054</v>
      </c>
      <c r="D135" s="346">
        <f>IF(F134+SUM(E$99:E134)=D$92,F134,D$92-SUM(E$99:E134))</f>
        <v>33155</v>
      </c>
      <c r="E135" s="484">
        <f t="shared" si="19"/>
        <v>5951</v>
      </c>
      <c r="F135" s="485">
        <f t="shared" si="20"/>
        <v>27204</v>
      </c>
      <c r="G135" s="485">
        <f t="shared" si="21"/>
        <v>30179.5</v>
      </c>
      <c r="H135" s="613">
        <f t="shared" si="22"/>
        <v>9385.209597293062</v>
      </c>
      <c r="I135" s="614">
        <f t="shared" si="23"/>
        <v>9385.209597293062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8"/>
        <v/>
      </c>
      <c r="C136" s="472">
        <f>IF(D93="","-",+C135+1)</f>
        <v>2055</v>
      </c>
      <c r="D136" s="346">
        <f>IF(F135+SUM(E$99:E135)=D$92,F135,D$92-SUM(E$99:E135))</f>
        <v>27204</v>
      </c>
      <c r="E136" s="484">
        <f t="shared" si="19"/>
        <v>5951</v>
      </c>
      <c r="F136" s="485">
        <f t="shared" si="20"/>
        <v>21253</v>
      </c>
      <c r="G136" s="485">
        <f t="shared" si="21"/>
        <v>24228.5</v>
      </c>
      <c r="H136" s="613">
        <f t="shared" si="22"/>
        <v>8708.0286859628213</v>
      </c>
      <c r="I136" s="614">
        <f t="shared" si="23"/>
        <v>8708.0286859628213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8"/>
        <v/>
      </c>
      <c r="C137" s="472">
        <f>IF(D93="","-",+C136+1)</f>
        <v>2056</v>
      </c>
      <c r="D137" s="346">
        <f>IF(F136+SUM(E$99:E136)=D$92,F136,D$92-SUM(E$99:E136))</f>
        <v>21253</v>
      </c>
      <c r="E137" s="484">
        <f t="shared" si="19"/>
        <v>5951</v>
      </c>
      <c r="F137" s="485">
        <f t="shared" si="20"/>
        <v>15302</v>
      </c>
      <c r="G137" s="485">
        <f t="shared" si="21"/>
        <v>18277.5</v>
      </c>
      <c r="H137" s="613">
        <f t="shared" si="22"/>
        <v>8030.8477746325798</v>
      </c>
      <c r="I137" s="614">
        <f t="shared" si="23"/>
        <v>8030.8477746325798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8"/>
        <v/>
      </c>
      <c r="C138" s="472">
        <f>IF(D93="","-",+C137+1)</f>
        <v>2057</v>
      </c>
      <c r="D138" s="346">
        <f>IF(F137+SUM(E$99:E137)=D$92,F137,D$92-SUM(E$99:E137))</f>
        <v>15302</v>
      </c>
      <c r="E138" s="484">
        <f t="shared" si="19"/>
        <v>5951</v>
      </c>
      <c r="F138" s="485">
        <f t="shared" si="20"/>
        <v>9351</v>
      </c>
      <c r="G138" s="485">
        <f t="shared" si="21"/>
        <v>12326.5</v>
      </c>
      <c r="H138" s="613">
        <f t="shared" si="22"/>
        <v>7353.6668633023382</v>
      </c>
      <c r="I138" s="614">
        <f t="shared" si="23"/>
        <v>7353.6668633023382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8"/>
        <v/>
      </c>
      <c r="C139" s="472">
        <f>IF(D93="","-",+C138+1)</f>
        <v>2058</v>
      </c>
      <c r="D139" s="346">
        <f>IF(F138+SUM(E$99:E138)=D$92,F138,D$92-SUM(E$99:E138))</f>
        <v>9351</v>
      </c>
      <c r="E139" s="484">
        <f t="shared" si="19"/>
        <v>5951</v>
      </c>
      <c r="F139" s="485">
        <f t="shared" si="20"/>
        <v>3400</v>
      </c>
      <c r="G139" s="485">
        <f t="shared" si="21"/>
        <v>6375.5</v>
      </c>
      <c r="H139" s="613">
        <f t="shared" si="22"/>
        <v>6676.4859519720976</v>
      </c>
      <c r="I139" s="614">
        <f t="shared" si="23"/>
        <v>6676.4859519720976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8"/>
        <v/>
      </c>
      <c r="C140" s="472">
        <f>IF(D93="","-",+C139+1)</f>
        <v>2059</v>
      </c>
      <c r="D140" s="346">
        <f>IF(F139+SUM(E$99:E139)=D$92,F139,D$92-SUM(E$99:E139))</f>
        <v>3400</v>
      </c>
      <c r="E140" s="484">
        <f t="shared" si="19"/>
        <v>3400</v>
      </c>
      <c r="F140" s="485">
        <f t="shared" si="20"/>
        <v>0</v>
      </c>
      <c r="G140" s="485">
        <f t="shared" si="21"/>
        <v>1700</v>
      </c>
      <c r="H140" s="613">
        <f t="shared" si="22"/>
        <v>3593.4477481534886</v>
      </c>
      <c r="I140" s="614">
        <f t="shared" si="23"/>
        <v>3593.4477481534886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8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613">
        <f t="shared" si="22"/>
        <v>0</v>
      </c>
      <c r="I141" s="614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8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613">
        <f t="shared" si="22"/>
        <v>0</v>
      </c>
      <c r="I142" s="614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8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613">
        <f t="shared" si="22"/>
        <v>0</v>
      </c>
      <c r="I143" s="614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8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613">
        <f t="shared" si="22"/>
        <v>0</v>
      </c>
      <c r="I144" s="614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8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613">
        <f t="shared" si="22"/>
        <v>0</v>
      </c>
      <c r="I145" s="614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8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613">
        <f t="shared" si="22"/>
        <v>0</v>
      </c>
      <c r="I146" s="614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8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613">
        <f t="shared" si="22"/>
        <v>0</v>
      </c>
      <c r="I147" s="614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8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613">
        <f t="shared" si="22"/>
        <v>0</v>
      </c>
      <c r="I148" s="614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8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613">
        <f t="shared" si="22"/>
        <v>0</v>
      </c>
      <c r="I149" s="614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8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613">
        <f t="shared" si="22"/>
        <v>0</v>
      </c>
      <c r="I150" s="614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8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613">
        <f t="shared" si="22"/>
        <v>0</v>
      </c>
      <c r="I151" s="614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8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613">
        <f t="shared" si="22"/>
        <v>0</v>
      </c>
      <c r="I152" s="614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8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613">
        <f t="shared" si="22"/>
        <v>0</v>
      </c>
      <c r="I153" s="614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8"/>
        <v/>
      </c>
      <c r="C154" s="489">
        <f>IF(D93="","-",+C153+1)</f>
        <v>2073</v>
      </c>
      <c r="D154" s="491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5">
        <f t="shared" si="22"/>
        <v>0</v>
      </c>
      <c r="I154" s="616">
        <f t="shared" si="23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244000</v>
      </c>
      <c r="F155" s="347"/>
      <c r="G155" s="347"/>
      <c r="H155" s="347">
        <f>SUM(H99:H154)</f>
        <v>811560.77406428766</v>
      </c>
      <c r="I155" s="347">
        <f>SUM(I99:I154)</f>
        <v>811560.77406428766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2"/>
  <sheetViews>
    <sheetView zoomScale="80" zoomScaleNormal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23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148802.48155476435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148802.48155476435</v>
      </c>
      <c r="O6" s="232"/>
      <c r="P6" s="232"/>
    </row>
    <row r="7" spans="1:16" ht="13.5" thickBot="1">
      <c r="C7" s="431" t="s">
        <v>46</v>
      </c>
      <c r="D7" s="599" t="s">
        <v>303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304</v>
      </c>
      <c r="E9" s="577" t="s">
        <v>305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1165593.0099999998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29887.000256410251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19755.555555555555</v>
      </c>
      <c r="F17" s="584">
        <v>1758244.4444444445</v>
      </c>
      <c r="G17" s="608">
        <v>125038.30164155026</v>
      </c>
      <c r="H17" s="587">
        <v>125038.30164155026</v>
      </c>
      <c r="I17" s="475">
        <f>H17-G17</f>
        <v>0</v>
      </c>
      <c r="J17" s="475"/>
      <c r="K17" s="554">
        <f>+G17</f>
        <v>125038.30164155026</v>
      </c>
      <c r="L17" s="477">
        <f t="shared" ref="L17:L72" si="0">IF(K17&lt;&gt;0,+G17-K17,0)</f>
        <v>0</v>
      </c>
      <c r="M17" s="554">
        <f>+H17</f>
        <v>125038.30164155026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2019</v>
      </c>
      <c r="D18" s="584">
        <v>2017244.4444444445</v>
      </c>
      <c r="E18" s="585">
        <v>50925</v>
      </c>
      <c r="F18" s="584">
        <v>1966319.4444444445</v>
      </c>
      <c r="G18" s="585">
        <v>273320.66219595348</v>
      </c>
      <c r="H18" s="587">
        <v>273320.66219595348</v>
      </c>
      <c r="I18" s="475">
        <f>H18-G18</f>
        <v>0</v>
      </c>
      <c r="J18" s="475"/>
      <c r="K18" s="478">
        <f>+G18</f>
        <v>273320.66219595348</v>
      </c>
      <c r="L18" s="478">
        <f t="shared" si="0"/>
        <v>0</v>
      </c>
      <c r="M18" s="478">
        <f>+H18</f>
        <v>273320.66219595348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1141057.3333333333</v>
      </c>
      <c r="E19" s="585">
        <v>28579.142857142859</v>
      </c>
      <c r="F19" s="584">
        <v>1112478.1904761903</v>
      </c>
      <c r="G19" s="585">
        <v>150275.44361099388</v>
      </c>
      <c r="H19" s="587">
        <v>150275.44361099388</v>
      </c>
      <c r="I19" s="475">
        <f t="shared" ref="I19:I71" si="3">H19-G19</f>
        <v>0</v>
      </c>
      <c r="J19" s="475"/>
      <c r="K19" s="478">
        <f>+G19</f>
        <v>150275.44361099388</v>
      </c>
      <c r="L19" s="478">
        <f t="shared" ref="L19" si="4">IF(K19&lt;&gt;0,+G19-K19,0)</f>
        <v>0</v>
      </c>
      <c r="M19" s="478">
        <f>+H19</f>
        <v>150275.44361099388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584">
        <v>1076920.3015873015</v>
      </c>
      <c r="E20" s="585">
        <v>27353.023255813954</v>
      </c>
      <c r="F20" s="584">
        <v>1049567.2783314877</v>
      </c>
      <c r="G20" s="585">
        <v>141993.72505975311</v>
      </c>
      <c r="H20" s="587">
        <v>141993.72505975311</v>
      </c>
      <c r="I20" s="475">
        <f t="shared" si="3"/>
        <v>0</v>
      </c>
      <c r="J20" s="475"/>
      <c r="K20" s="478">
        <f>+G20</f>
        <v>141993.72505975311</v>
      </c>
      <c r="L20" s="478">
        <f t="shared" ref="L20" si="6">IF(K20&lt;&gt;0,+G20-K20,0)</f>
        <v>0</v>
      </c>
      <c r="M20" s="478">
        <f>+H20</f>
        <v>141993.72505975311</v>
      </c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2022</v>
      </c>
      <c r="D21" s="584">
        <v>1038980.2783314877</v>
      </c>
      <c r="E21" s="585">
        <v>27752.214285714286</v>
      </c>
      <c r="F21" s="584">
        <v>1011228.0640457734</v>
      </c>
      <c r="G21" s="585">
        <v>138269.97206377087</v>
      </c>
      <c r="H21" s="587">
        <v>138269.97206377087</v>
      </c>
      <c r="I21" s="475">
        <f t="shared" si="3"/>
        <v>0</v>
      </c>
      <c r="J21" s="475"/>
      <c r="K21" s="478">
        <f>+G21</f>
        <v>138269.97206377087</v>
      </c>
      <c r="L21" s="478">
        <f t="shared" ref="L21" si="7">IF(K21&lt;&gt;0,+G21-K21,0)</f>
        <v>0</v>
      </c>
      <c r="M21" s="478">
        <f>+H21</f>
        <v>138269.97206377087</v>
      </c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>IU</v>
      </c>
      <c r="C22" s="472">
        <f>IF(D11="","-",+C21+1)</f>
        <v>2023</v>
      </c>
      <c r="D22" s="483">
        <f>IF(F21+SUM(E$17:E21)=D$10,F21,D$10-SUM(E$17:E21))</f>
        <v>1011228.0740457731</v>
      </c>
      <c r="E22" s="484">
        <f t="shared" ref="E22:E71" si="8">IF(+I$14&lt;F21,I$14,D22)</f>
        <v>29887.000256410251</v>
      </c>
      <c r="F22" s="485">
        <f t="shared" ref="F22:F71" si="9">+D22-E22</f>
        <v>981341.07378936291</v>
      </c>
      <c r="G22" s="486">
        <f t="shared" ref="G22:G71" si="10">(D22+F22)/2*I$12+E22</f>
        <v>148802.48155476435</v>
      </c>
      <c r="H22" s="455">
        <f t="shared" ref="H22:H71" si="11">+(D22+F22)/2*I$13+E22</f>
        <v>148802.48155476435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981341.07378936291</v>
      </c>
      <c r="E23" s="484">
        <f t="shared" si="8"/>
        <v>29887.000256410251</v>
      </c>
      <c r="F23" s="485">
        <f t="shared" si="9"/>
        <v>951454.07353295269</v>
      </c>
      <c r="G23" s="486">
        <f t="shared" si="10"/>
        <v>145235.20056587984</v>
      </c>
      <c r="H23" s="455">
        <f t="shared" si="11"/>
        <v>145235.20056587984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951454.07353295269</v>
      </c>
      <c r="E24" s="484">
        <f t="shared" si="8"/>
        <v>29887.000256410251</v>
      </c>
      <c r="F24" s="485">
        <f t="shared" si="9"/>
        <v>921567.07327654248</v>
      </c>
      <c r="G24" s="486">
        <f t="shared" si="10"/>
        <v>141667.91957699531</v>
      </c>
      <c r="H24" s="455">
        <f t="shared" si="11"/>
        <v>141667.91957699531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921567.07327654248</v>
      </c>
      <c r="E25" s="484">
        <f t="shared" si="8"/>
        <v>29887.000256410251</v>
      </c>
      <c r="F25" s="485">
        <f t="shared" si="9"/>
        <v>891680.07302013226</v>
      </c>
      <c r="G25" s="486">
        <f t="shared" si="10"/>
        <v>138100.6385881108</v>
      </c>
      <c r="H25" s="455">
        <f t="shared" si="11"/>
        <v>138100.6385881108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891680.07302013226</v>
      </c>
      <c r="E26" s="484">
        <f t="shared" si="8"/>
        <v>29887.000256410251</v>
      </c>
      <c r="F26" s="485">
        <f t="shared" si="9"/>
        <v>861793.07276372204</v>
      </c>
      <c r="G26" s="486">
        <f t="shared" si="10"/>
        <v>134533.35759922626</v>
      </c>
      <c r="H26" s="455">
        <f t="shared" si="11"/>
        <v>134533.35759922626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861793.07276372204</v>
      </c>
      <c r="E27" s="484">
        <f t="shared" si="8"/>
        <v>29887.000256410251</v>
      </c>
      <c r="F27" s="485">
        <f t="shared" si="9"/>
        <v>831906.07250731182</v>
      </c>
      <c r="G27" s="486">
        <f t="shared" si="10"/>
        <v>130966.07661034176</v>
      </c>
      <c r="H27" s="455">
        <f t="shared" si="11"/>
        <v>130966.07661034176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831906.07250731182</v>
      </c>
      <c r="E28" s="484">
        <f t="shared" si="8"/>
        <v>29887.000256410251</v>
      </c>
      <c r="F28" s="485">
        <f t="shared" si="9"/>
        <v>802019.07225090161</v>
      </c>
      <c r="G28" s="486">
        <f t="shared" si="10"/>
        <v>127398.79562145722</v>
      </c>
      <c r="H28" s="455">
        <f t="shared" si="11"/>
        <v>127398.79562145722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802019.07225090161</v>
      </c>
      <c r="E29" s="484">
        <f t="shared" si="8"/>
        <v>29887.000256410251</v>
      </c>
      <c r="F29" s="485">
        <f t="shared" si="9"/>
        <v>772132.07199449139</v>
      </c>
      <c r="G29" s="486">
        <f t="shared" si="10"/>
        <v>123831.51463257273</v>
      </c>
      <c r="H29" s="455">
        <f t="shared" si="11"/>
        <v>123831.51463257273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772132.07199449139</v>
      </c>
      <c r="E30" s="484">
        <f t="shared" si="8"/>
        <v>29887.000256410251</v>
      </c>
      <c r="F30" s="485">
        <f t="shared" si="9"/>
        <v>742245.07173808117</v>
      </c>
      <c r="G30" s="486">
        <f t="shared" si="10"/>
        <v>120264.23364368819</v>
      </c>
      <c r="H30" s="455">
        <f t="shared" si="11"/>
        <v>120264.23364368819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742245.07173808117</v>
      </c>
      <c r="E31" s="484">
        <f t="shared" si="8"/>
        <v>29887.000256410251</v>
      </c>
      <c r="F31" s="485">
        <f t="shared" si="9"/>
        <v>712358.07148167095</v>
      </c>
      <c r="G31" s="486">
        <f t="shared" si="10"/>
        <v>116696.95265480368</v>
      </c>
      <c r="H31" s="455">
        <f t="shared" si="11"/>
        <v>116696.95265480368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712358.07148167095</v>
      </c>
      <c r="E32" s="484">
        <f t="shared" si="8"/>
        <v>29887.000256410251</v>
      </c>
      <c r="F32" s="485">
        <f t="shared" si="9"/>
        <v>682471.07122526073</v>
      </c>
      <c r="G32" s="486">
        <f t="shared" si="10"/>
        <v>113129.67166591914</v>
      </c>
      <c r="H32" s="455">
        <f t="shared" si="11"/>
        <v>113129.67166591914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682471.07122526073</v>
      </c>
      <c r="E33" s="484">
        <f t="shared" si="8"/>
        <v>29887.000256410251</v>
      </c>
      <c r="F33" s="485">
        <f t="shared" si="9"/>
        <v>652584.07096885052</v>
      </c>
      <c r="G33" s="486">
        <f t="shared" si="10"/>
        <v>109562.39067703465</v>
      </c>
      <c r="H33" s="455">
        <f t="shared" si="11"/>
        <v>109562.39067703465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652584.07096885052</v>
      </c>
      <c r="E34" s="484">
        <f t="shared" si="8"/>
        <v>29887.000256410251</v>
      </c>
      <c r="F34" s="485">
        <f t="shared" si="9"/>
        <v>622697.0707124403</v>
      </c>
      <c r="G34" s="486">
        <f t="shared" si="10"/>
        <v>105995.10968815011</v>
      </c>
      <c r="H34" s="455">
        <f t="shared" si="11"/>
        <v>105995.10968815011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622697.0707124403</v>
      </c>
      <c r="E35" s="484">
        <f t="shared" si="8"/>
        <v>29887.000256410251</v>
      </c>
      <c r="F35" s="485">
        <f t="shared" si="9"/>
        <v>592810.07045603008</v>
      </c>
      <c r="G35" s="486">
        <f t="shared" si="10"/>
        <v>102427.82869926561</v>
      </c>
      <c r="H35" s="455">
        <f t="shared" si="11"/>
        <v>102427.82869926561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592810.07045603008</v>
      </c>
      <c r="E36" s="484">
        <f t="shared" si="8"/>
        <v>29887.000256410251</v>
      </c>
      <c r="F36" s="485">
        <f t="shared" si="9"/>
        <v>562923.07019961986</v>
      </c>
      <c r="G36" s="486">
        <f t="shared" si="10"/>
        <v>98860.54771038107</v>
      </c>
      <c r="H36" s="455">
        <f t="shared" si="11"/>
        <v>98860.54771038107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562923.07019961986</v>
      </c>
      <c r="E37" s="484">
        <f t="shared" si="8"/>
        <v>29887.000256410251</v>
      </c>
      <c r="F37" s="485">
        <f t="shared" si="9"/>
        <v>533036.06994320964</v>
      </c>
      <c r="G37" s="486">
        <f t="shared" si="10"/>
        <v>95293.266721496577</v>
      </c>
      <c r="H37" s="455">
        <f t="shared" si="11"/>
        <v>95293.266721496577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533036.06994320964</v>
      </c>
      <c r="E38" s="484">
        <f t="shared" si="8"/>
        <v>29887.000256410251</v>
      </c>
      <c r="F38" s="485">
        <f t="shared" si="9"/>
        <v>503149.06968679937</v>
      </c>
      <c r="G38" s="486">
        <f t="shared" si="10"/>
        <v>91725.98573261204</v>
      </c>
      <c r="H38" s="455">
        <f t="shared" si="11"/>
        <v>91725.98573261204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503149.06968679937</v>
      </c>
      <c r="E39" s="484">
        <f t="shared" si="8"/>
        <v>29887.000256410251</v>
      </c>
      <c r="F39" s="485">
        <f t="shared" si="9"/>
        <v>473262.06943038909</v>
      </c>
      <c r="G39" s="486">
        <f t="shared" si="10"/>
        <v>88158.704743727518</v>
      </c>
      <c r="H39" s="455">
        <f t="shared" si="11"/>
        <v>88158.704743727518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473262.06943038909</v>
      </c>
      <c r="E40" s="484">
        <f t="shared" si="8"/>
        <v>29887.000256410251</v>
      </c>
      <c r="F40" s="485">
        <f t="shared" si="9"/>
        <v>443375.06917397882</v>
      </c>
      <c r="G40" s="486">
        <f t="shared" si="10"/>
        <v>84591.423754842996</v>
      </c>
      <c r="H40" s="455">
        <f t="shared" si="11"/>
        <v>84591.423754842996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443375.06917397882</v>
      </c>
      <c r="E41" s="484">
        <f t="shared" si="8"/>
        <v>29887.000256410251</v>
      </c>
      <c r="F41" s="485">
        <f t="shared" si="9"/>
        <v>413488.06891756854</v>
      </c>
      <c r="G41" s="486">
        <f t="shared" si="10"/>
        <v>81024.142765958473</v>
      </c>
      <c r="H41" s="455">
        <f t="shared" si="11"/>
        <v>81024.142765958473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413488.06891756854</v>
      </c>
      <c r="E42" s="484">
        <f t="shared" si="8"/>
        <v>29887.000256410251</v>
      </c>
      <c r="F42" s="485">
        <f t="shared" si="9"/>
        <v>383601.06866115826</v>
      </c>
      <c r="G42" s="486">
        <f t="shared" si="10"/>
        <v>77456.861777073937</v>
      </c>
      <c r="H42" s="455">
        <f t="shared" si="11"/>
        <v>77456.861777073937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383601.06866115826</v>
      </c>
      <c r="E43" s="484">
        <f t="shared" si="8"/>
        <v>29887.000256410251</v>
      </c>
      <c r="F43" s="485">
        <f t="shared" si="9"/>
        <v>353714.06840474799</v>
      </c>
      <c r="G43" s="486">
        <f t="shared" si="10"/>
        <v>73889.580788189414</v>
      </c>
      <c r="H43" s="455">
        <f t="shared" si="11"/>
        <v>73889.580788189414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353714.06840474799</v>
      </c>
      <c r="E44" s="484">
        <f t="shared" si="8"/>
        <v>29887.000256410251</v>
      </c>
      <c r="F44" s="485">
        <f t="shared" si="9"/>
        <v>323827.06814833771</v>
      </c>
      <c r="G44" s="486">
        <f t="shared" si="10"/>
        <v>70322.299799304892</v>
      </c>
      <c r="H44" s="455">
        <f t="shared" si="11"/>
        <v>70322.299799304892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323827.06814833771</v>
      </c>
      <c r="E45" s="484">
        <f t="shared" si="8"/>
        <v>29887.000256410251</v>
      </c>
      <c r="F45" s="485">
        <f t="shared" si="9"/>
        <v>293940.06789192744</v>
      </c>
      <c r="G45" s="486">
        <f t="shared" si="10"/>
        <v>66755.01881042037</v>
      </c>
      <c r="H45" s="455">
        <f t="shared" si="11"/>
        <v>66755.01881042037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293940.06789192744</v>
      </c>
      <c r="E46" s="484">
        <f t="shared" si="8"/>
        <v>29887.000256410251</v>
      </c>
      <c r="F46" s="485">
        <f t="shared" si="9"/>
        <v>264053.06763551716</v>
      </c>
      <c r="G46" s="486">
        <f t="shared" si="10"/>
        <v>63187.737821535833</v>
      </c>
      <c r="H46" s="455">
        <f t="shared" si="11"/>
        <v>63187.737821535833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264053.06763551716</v>
      </c>
      <c r="E47" s="484">
        <f t="shared" si="8"/>
        <v>29887.000256410251</v>
      </c>
      <c r="F47" s="485">
        <f t="shared" si="9"/>
        <v>234166.06737910691</v>
      </c>
      <c r="G47" s="486">
        <f t="shared" si="10"/>
        <v>59620.456832651318</v>
      </c>
      <c r="H47" s="455">
        <f t="shared" si="11"/>
        <v>59620.456832651318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234166.06737910691</v>
      </c>
      <c r="E48" s="484">
        <f t="shared" si="8"/>
        <v>29887.000256410251</v>
      </c>
      <c r="F48" s="485">
        <f t="shared" si="9"/>
        <v>204279.06712269667</v>
      </c>
      <c r="G48" s="486">
        <f t="shared" si="10"/>
        <v>56053.175843766789</v>
      </c>
      <c r="H48" s="455">
        <f t="shared" si="11"/>
        <v>56053.175843766789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204279.06712269667</v>
      </c>
      <c r="E49" s="484">
        <f t="shared" si="8"/>
        <v>29887.000256410251</v>
      </c>
      <c r="F49" s="485">
        <f t="shared" si="9"/>
        <v>174392.06686628642</v>
      </c>
      <c r="G49" s="486">
        <f t="shared" si="10"/>
        <v>52485.894854882274</v>
      </c>
      <c r="H49" s="455">
        <f t="shared" si="11"/>
        <v>52485.894854882274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174392.06686628642</v>
      </c>
      <c r="E50" s="484">
        <f t="shared" si="8"/>
        <v>29887.000256410251</v>
      </c>
      <c r="F50" s="485">
        <f t="shared" si="9"/>
        <v>144505.06660987617</v>
      </c>
      <c r="G50" s="486">
        <f t="shared" si="10"/>
        <v>48918.613865997744</v>
      </c>
      <c r="H50" s="455">
        <f t="shared" si="11"/>
        <v>48918.613865997744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144505.06660987617</v>
      </c>
      <c r="E51" s="484">
        <f t="shared" si="8"/>
        <v>29887.000256410251</v>
      </c>
      <c r="F51" s="485">
        <f t="shared" si="9"/>
        <v>114618.06635346593</v>
      </c>
      <c r="G51" s="486">
        <f t="shared" si="10"/>
        <v>45351.332877113229</v>
      </c>
      <c r="H51" s="455">
        <f t="shared" si="11"/>
        <v>45351.332877113229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114618.06635346593</v>
      </c>
      <c r="E52" s="484">
        <f t="shared" si="8"/>
        <v>29887.000256410251</v>
      </c>
      <c r="F52" s="485">
        <f t="shared" si="9"/>
        <v>84731.066097055678</v>
      </c>
      <c r="G52" s="486">
        <f t="shared" si="10"/>
        <v>41784.051888228707</v>
      </c>
      <c r="H52" s="455">
        <f t="shared" si="11"/>
        <v>41784.051888228707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84731.066097055678</v>
      </c>
      <c r="E53" s="484">
        <f t="shared" si="8"/>
        <v>29887.000256410251</v>
      </c>
      <c r="F53" s="485">
        <f t="shared" si="9"/>
        <v>54844.065840645431</v>
      </c>
      <c r="G53" s="486">
        <f t="shared" si="10"/>
        <v>38216.770899344185</v>
      </c>
      <c r="H53" s="455">
        <f t="shared" si="11"/>
        <v>38216.770899344185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54844.065840645431</v>
      </c>
      <c r="E54" s="484">
        <f t="shared" si="8"/>
        <v>29887.000256410251</v>
      </c>
      <c r="F54" s="485">
        <f t="shared" si="9"/>
        <v>24957.065584235181</v>
      </c>
      <c r="G54" s="486">
        <f t="shared" si="10"/>
        <v>34649.489910459662</v>
      </c>
      <c r="H54" s="455">
        <f t="shared" si="11"/>
        <v>34649.489910459662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24957.065584235181</v>
      </c>
      <c r="E55" s="484">
        <f t="shared" si="8"/>
        <v>24957.065584235181</v>
      </c>
      <c r="F55" s="485">
        <f t="shared" si="9"/>
        <v>0</v>
      </c>
      <c r="G55" s="486">
        <f t="shared" si="10"/>
        <v>26446.490164038754</v>
      </c>
      <c r="H55" s="455">
        <f t="shared" si="11"/>
        <v>26446.490164038754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0</v>
      </c>
      <c r="E56" s="484">
        <f t="shared" si="8"/>
        <v>0</v>
      </c>
      <c r="F56" s="485">
        <f t="shared" si="9"/>
        <v>0</v>
      </c>
      <c r="G56" s="486">
        <f t="shared" si="10"/>
        <v>0</v>
      </c>
      <c r="H56" s="455">
        <f t="shared" si="11"/>
        <v>0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0</v>
      </c>
      <c r="E57" s="484">
        <f t="shared" si="8"/>
        <v>0</v>
      </c>
      <c r="F57" s="485">
        <f t="shared" si="9"/>
        <v>0</v>
      </c>
      <c r="G57" s="486">
        <f t="shared" si="10"/>
        <v>0</v>
      </c>
      <c r="H57" s="455">
        <f t="shared" si="11"/>
        <v>0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8"/>
        <v>0</v>
      </c>
      <c r="F58" s="485">
        <f t="shared" si="9"/>
        <v>0</v>
      </c>
      <c r="G58" s="486">
        <f t="shared" si="10"/>
        <v>0</v>
      </c>
      <c r="H58" s="455">
        <f t="shared" si="11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1165593.01</v>
      </c>
      <c r="F73" s="347"/>
      <c r="G73" s="347">
        <f>SUM(G17:G72)</f>
        <v>3882302.1239122567</v>
      </c>
      <c r="H73" s="347">
        <f>SUM(H17:H72)</f>
        <v>3882302.1239122567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23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141993.72505975311</v>
      </c>
      <c r="N87" s="508">
        <f>IF(J92&lt;D11,0,VLOOKUP(J92,C17:O72,11))</f>
        <v>141993.72505975311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150746.01115745076</v>
      </c>
      <c r="N88" s="512">
        <f>IF(J92&lt;D11,0,VLOOKUP(J92,C99:P154,7))</f>
        <v>150746.01115745076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138KV Move Load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8752.2860976976517</v>
      </c>
      <c r="N89" s="517">
        <f>+N88-N87</f>
        <v>8752.2860976976517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TP2011110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1165593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28429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20674.5</v>
      </c>
      <c r="F99" s="584">
        <v>1757325.5</v>
      </c>
      <c r="G99" s="608">
        <v>878662.75</v>
      </c>
      <c r="H99" s="587">
        <v>110944.41567094853</v>
      </c>
      <c r="I99" s="607">
        <v>110944.41567094853</v>
      </c>
      <c r="J99" s="478">
        <f>+I99-H99</f>
        <v>0</v>
      </c>
      <c r="K99" s="478"/>
      <c r="L99" s="477">
        <f>+H99</f>
        <v>110944.41567094853</v>
      </c>
      <c r="M99" s="477">
        <f t="shared" ref="M99" si="12">IF(L99&lt;&gt;0,+H99-L99,0)</f>
        <v>0</v>
      </c>
      <c r="N99" s="477">
        <f>+I99</f>
        <v>110944.41567094853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578">
        <v>1155505.5</v>
      </c>
      <c r="E100" s="579">
        <v>28687</v>
      </c>
      <c r="F100" s="578">
        <v>1126818.5</v>
      </c>
      <c r="G100" s="579">
        <v>1141162</v>
      </c>
      <c r="H100" s="602">
        <v>146356.80823022424</v>
      </c>
      <c r="I100" s="578">
        <v>146356.80823022424</v>
      </c>
      <c r="J100" s="478">
        <f t="shared" ref="J100:J130" si="15">+I100-H100</f>
        <v>0</v>
      </c>
      <c r="K100" s="478"/>
      <c r="L100" s="476">
        <f>H100</f>
        <v>146356.80823022424</v>
      </c>
      <c r="M100" s="348">
        <f>IF(L100&lt;&gt;0,+H100-L100,0)</f>
        <v>0</v>
      </c>
      <c r="N100" s="476">
        <f>I100</f>
        <v>146356.80823022424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 ht="12.5">
      <c r="B101" s="160" t="str">
        <f t="shared" ref="B101:B154" si="18">IF(D101=F100,"","IU")</f>
        <v>IU</v>
      </c>
      <c r="C101" s="472">
        <f>IF(D93="","-",+C100+1)</f>
        <v>2020</v>
      </c>
      <c r="D101" s="578">
        <v>1116231.5</v>
      </c>
      <c r="E101" s="579">
        <v>27107</v>
      </c>
      <c r="F101" s="578">
        <v>1089124.5</v>
      </c>
      <c r="G101" s="579">
        <v>1102678</v>
      </c>
      <c r="H101" s="602">
        <v>154242.74183680658</v>
      </c>
      <c r="I101" s="578">
        <v>154242.74183680658</v>
      </c>
      <c r="J101" s="478">
        <f t="shared" si="15"/>
        <v>0</v>
      </c>
      <c r="K101" s="478"/>
      <c r="L101" s="476">
        <f>H101</f>
        <v>154242.74183680658</v>
      </c>
      <c r="M101" s="348">
        <f>IF(L101&lt;&gt;0,+H101-L101,0)</f>
        <v>0</v>
      </c>
      <c r="N101" s="476">
        <f>I101</f>
        <v>154242.74183680658</v>
      </c>
      <c r="O101" s="478">
        <f t="shared" si="16"/>
        <v>0</v>
      </c>
      <c r="P101" s="478">
        <f t="shared" si="17"/>
        <v>0</v>
      </c>
    </row>
    <row r="102" spans="1:16" ht="12.5">
      <c r="B102" s="160" t="str">
        <f t="shared" si="18"/>
        <v/>
      </c>
      <c r="C102" s="472">
        <f>IF(D93="","-",+C101+1)</f>
        <v>2021</v>
      </c>
      <c r="D102" s="346">
        <f>IF(F101+SUM(E$99:E101)=D$92,F101,D$92-SUM(E$99:E101))</f>
        <v>1089124.5</v>
      </c>
      <c r="E102" s="484">
        <f t="shared" ref="E102:E154" si="19">IF(+J$96&lt;F101,J$96,D102)</f>
        <v>28429</v>
      </c>
      <c r="F102" s="485">
        <f t="shared" ref="F102:F154" si="20">+D102-E102</f>
        <v>1060695.5</v>
      </c>
      <c r="G102" s="485">
        <f t="shared" ref="G102:G154" si="21">+(F102+D102)/2</f>
        <v>1074910</v>
      </c>
      <c r="H102" s="613">
        <f t="shared" ref="H102:H154" si="22">+J$94*G102+E102</f>
        <v>150746.01115745076</v>
      </c>
      <c r="I102" s="614">
        <f t="shared" ref="I102:I154" si="23">+J$95*G102+E102</f>
        <v>150746.01115745076</v>
      </c>
      <c r="J102" s="478">
        <f t="shared" si="15"/>
        <v>0</v>
      </c>
      <c r="K102" s="478"/>
      <c r="L102" s="487"/>
      <c r="M102" s="478">
        <f t="shared" ref="M102:M130" si="24">IF(L102&lt;&gt;0,+H102-L102,0)</f>
        <v>0</v>
      </c>
      <c r="N102" s="487"/>
      <c r="O102" s="478">
        <f t="shared" si="16"/>
        <v>0</v>
      </c>
      <c r="P102" s="478">
        <f t="shared" si="17"/>
        <v>0</v>
      </c>
    </row>
    <row r="103" spans="1:16" ht="12.5">
      <c r="B103" s="160" t="str">
        <f t="shared" si="18"/>
        <v/>
      </c>
      <c r="C103" s="472">
        <f>IF(D93="","-",+C102+1)</f>
        <v>2022</v>
      </c>
      <c r="D103" s="346">
        <f>IF(F102+SUM(E$99:E102)=D$92,F102,D$92-SUM(E$99:E102))</f>
        <v>1060695.5</v>
      </c>
      <c r="E103" s="484">
        <f t="shared" si="19"/>
        <v>28429</v>
      </c>
      <c r="F103" s="485">
        <f t="shared" si="20"/>
        <v>1032266.5</v>
      </c>
      <c r="G103" s="485">
        <f t="shared" si="21"/>
        <v>1046481</v>
      </c>
      <c r="H103" s="613">
        <f t="shared" si="22"/>
        <v>147510.99584435928</v>
      </c>
      <c r="I103" s="614">
        <f t="shared" si="23"/>
        <v>147510.99584435928</v>
      </c>
      <c r="J103" s="478">
        <f t="shared" si="15"/>
        <v>0</v>
      </c>
      <c r="K103" s="478"/>
      <c r="L103" s="487"/>
      <c r="M103" s="478">
        <f t="shared" si="24"/>
        <v>0</v>
      </c>
      <c r="N103" s="487"/>
      <c r="O103" s="478">
        <f t="shared" si="16"/>
        <v>0</v>
      </c>
      <c r="P103" s="478">
        <f t="shared" si="17"/>
        <v>0</v>
      </c>
    </row>
    <row r="104" spans="1:16" ht="12.5">
      <c r="B104" s="160" t="str">
        <f t="shared" si="18"/>
        <v/>
      </c>
      <c r="C104" s="472">
        <f>IF(D93="","-",+C103+1)</f>
        <v>2023</v>
      </c>
      <c r="D104" s="346">
        <f>IF(F103+SUM(E$99:E103)=D$92,F103,D$92-SUM(E$99:E103))</f>
        <v>1032266.5</v>
      </c>
      <c r="E104" s="484">
        <f t="shared" si="19"/>
        <v>28429</v>
      </c>
      <c r="F104" s="485">
        <f t="shared" si="20"/>
        <v>1003837.5</v>
      </c>
      <c r="G104" s="485">
        <f t="shared" si="21"/>
        <v>1018052</v>
      </c>
      <c r="H104" s="613">
        <f t="shared" si="22"/>
        <v>144275.98053126779</v>
      </c>
      <c r="I104" s="614">
        <f t="shared" si="23"/>
        <v>144275.98053126779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 ht="12.5">
      <c r="B105" s="160" t="str">
        <f t="shared" si="18"/>
        <v/>
      </c>
      <c r="C105" s="472">
        <f>IF(D93="","-",+C104+1)</f>
        <v>2024</v>
      </c>
      <c r="D105" s="346">
        <f>IF(F104+SUM(E$99:E104)=D$92,F104,D$92-SUM(E$99:E104))</f>
        <v>1003837.5</v>
      </c>
      <c r="E105" s="484">
        <f t="shared" si="19"/>
        <v>28429</v>
      </c>
      <c r="F105" s="485">
        <f t="shared" si="20"/>
        <v>975408.5</v>
      </c>
      <c r="G105" s="485">
        <f t="shared" si="21"/>
        <v>989623</v>
      </c>
      <c r="H105" s="613">
        <f t="shared" si="22"/>
        <v>141040.96521817631</v>
      </c>
      <c r="I105" s="614">
        <f t="shared" si="23"/>
        <v>141040.96521817631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 ht="12.5">
      <c r="B106" s="160" t="str">
        <f t="shared" si="18"/>
        <v/>
      </c>
      <c r="C106" s="472">
        <f>IF(D93="","-",+C105+1)</f>
        <v>2025</v>
      </c>
      <c r="D106" s="346">
        <f>IF(F105+SUM(E$99:E105)=D$92,F105,D$92-SUM(E$99:E105))</f>
        <v>975408.5</v>
      </c>
      <c r="E106" s="484">
        <f t="shared" si="19"/>
        <v>28429</v>
      </c>
      <c r="F106" s="485">
        <f t="shared" si="20"/>
        <v>946979.5</v>
      </c>
      <c r="G106" s="485">
        <f t="shared" si="21"/>
        <v>961194</v>
      </c>
      <c r="H106" s="613">
        <f t="shared" si="22"/>
        <v>137805.94990508482</v>
      </c>
      <c r="I106" s="614">
        <f t="shared" si="23"/>
        <v>137805.94990508482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 ht="12.5">
      <c r="B107" s="160" t="str">
        <f t="shared" si="18"/>
        <v/>
      </c>
      <c r="C107" s="472">
        <f>IF(D93="","-",+C106+1)</f>
        <v>2026</v>
      </c>
      <c r="D107" s="346">
        <f>IF(F106+SUM(E$99:E106)=D$92,F106,D$92-SUM(E$99:E106))</f>
        <v>946979.5</v>
      </c>
      <c r="E107" s="484">
        <f t="shared" si="19"/>
        <v>28429</v>
      </c>
      <c r="F107" s="485">
        <f t="shared" si="20"/>
        <v>918550.5</v>
      </c>
      <c r="G107" s="485">
        <f t="shared" si="21"/>
        <v>932765</v>
      </c>
      <c r="H107" s="613">
        <f t="shared" si="22"/>
        <v>134570.93459199334</v>
      </c>
      <c r="I107" s="614">
        <f t="shared" si="23"/>
        <v>134570.93459199334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 ht="12.5">
      <c r="B108" s="160" t="str">
        <f t="shared" si="18"/>
        <v/>
      </c>
      <c r="C108" s="472">
        <f>IF(D93="","-",+C107+1)</f>
        <v>2027</v>
      </c>
      <c r="D108" s="346">
        <f>IF(F107+SUM(E$99:E107)=D$92,F107,D$92-SUM(E$99:E107))</f>
        <v>918550.5</v>
      </c>
      <c r="E108" s="484">
        <f t="shared" si="19"/>
        <v>28429</v>
      </c>
      <c r="F108" s="485">
        <f t="shared" si="20"/>
        <v>890121.5</v>
      </c>
      <c r="G108" s="485">
        <f t="shared" si="21"/>
        <v>904336</v>
      </c>
      <c r="H108" s="613">
        <f t="shared" si="22"/>
        <v>131335.91927890186</v>
      </c>
      <c r="I108" s="614">
        <f t="shared" si="23"/>
        <v>131335.91927890186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 ht="12.5">
      <c r="B109" s="160" t="str">
        <f t="shared" si="18"/>
        <v/>
      </c>
      <c r="C109" s="472">
        <f>IF(D93="","-",+C108+1)</f>
        <v>2028</v>
      </c>
      <c r="D109" s="346">
        <f>IF(F108+SUM(E$99:E108)=D$92,F108,D$92-SUM(E$99:E108))</f>
        <v>890121.5</v>
      </c>
      <c r="E109" s="484">
        <f t="shared" si="19"/>
        <v>28429</v>
      </c>
      <c r="F109" s="485">
        <f t="shared" si="20"/>
        <v>861692.5</v>
      </c>
      <c r="G109" s="485">
        <f t="shared" si="21"/>
        <v>875907</v>
      </c>
      <c r="H109" s="613">
        <f t="shared" si="22"/>
        <v>128100.90396581037</v>
      </c>
      <c r="I109" s="614">
        <f t="shared" si="23"/>
        <v>128100.90396581037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 ht="12.5">
      <c r="B110" s="160" t="str">
        <f t="shared" si="18"/>
        <v/>
      </c>
      <c r="C110" s="472">
        <f>IF(D93="","-",+C109+1)</f>
        <v>2029</v>
      </c>
      <c r="D110" s="346">
        <f>IF(F109+SUM(E$99:E109)=D$92,F109,D$92-SUM(E$99:E109))</f>
        <v>861692.5</v>
      </c>
      <c r="E110" s="484">
        <f t="shared" si="19"/>
        <v>28429</v>
      </c>
      <c r="F110" s="485">
        <f t="shared" si="20"/>
        <v>833263.5</v>
      </c>
      <c r="G110" s="485">
        <f t="shared" si="21"/>
        <v>847478</v>
      </c>
      <c r="H110" s="613">
        <f t="shared" si="22"/>
        <v>124865.88865271889</v>
      </c>
      <c r="I110" s="614">
        <f t="shared" si="23"/>
        <v>124865.88865271889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 ht="12.5">
      <c r="B111" s="160" t="str">
        <f t="shared" si="18"/>
        <v/>
      </c>
      <c r="C111" s="472">
        <f>IF(D93="","-",+C110+1)</f>
        <v>2030</v>
      </c>
      <c r="D111" s="346">
        <f>IF(F110+SUM(E$99:E110)=D$92,F110,D$92-SUM(E$99:E110))</f>
        <v>833263.5</v>
      </c>
      <c r="E111" s="484">
        <f t="shared" si="19"/>
        <v>28429</v>
      </c>
      <c r="F111" s="485">
        <f t="shared" si="20"/>
        <v>804834.5</v>
      </c>
      <c r="G111" s="485">
        <f t="shared" si="21"/>
        <v>819049</v>
      </c>
      <c r="H111" s="613">
        <f t="shared" si="22"/>
        <v>121630.8733396274</v>
      </c>
      <c r="I111" s="614">
        <f t="shared" si="23"/>
        <v>121630.8733396274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 ht="12.5">
      <c r="B112" s="160" t="str">
        <f t="shared" si="18"/>
        <v/>
      </c>
      <c r="C112" s="472">
        <f>IF(D93="","-",+C111+1)</f>
        <v>2031</v>
      </c>
      <c r="D112" s="346">
        <f>IF(F111+SUM(E$99:E111)=D$92,F111,D$92-SUM(E$99:E111))</f>
        <v>804834.5</v>
      </c>
      <c r="E112" s="484">
        <f t="shared" si="19"/>
        <v>28429</v>
      </c>
      <c r="F112" s="485">
        <f t="shared" si="20"/>
        <v>776405.5</v>
      </c>
      <c r="G112" s="485">
        <f t="shared" si="21"/>
        <v>790620</v>
      </c>
      <c r="H112" s="613">
        <f t="shared" si="22"/>
        <v>118395.85802653592</v>
      </c>
      <c r="I112" s="614">
        <f t="shared" si="23"/>
        <v>118395.85802653592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 ht="12.5">
      <c r="B113" s="160" t="str">
        <f t="shared" si="18"/>
        <v/>
      </c>
      <c r="C113" s="472">
        <f>IF(D93="","-",+C112+1)</f>
        <v>2032</v>
      </c>
      <c r="D113" s="346">
        <f>IF(F112+SUM(E$99:E112)=D$92,F112,D$92-SUM(E$99:E112))</f>
        <v>776405.5</v>
      </c>
      <c r="E113" s="484">
        <f t="shared" si="19"/>
        <v>28429</v>
      </c>
      <c r="F113" s="485">
        <f t="shared" si="20"/>
        <v>747976.5</v>
      </c>
      <c r="G113" s="485">
        <f t="shared" si="21"/>
        <v>762191</v>
      </c>
      <c r="H113" s="613">
        <f t="shared" si="22"/>
        <v>115160.84271344444</v>
      </c>
      <c r="I113" s="614">
        <f t="shared" si="23"/>
        <v>115160.84271344444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 ht="12.5">
      <c r="B114" s="160" t="str">
        <f t="shared" si="18"/>
        <v/>
      </c>
      <c r="C114" s="472">
        <f>IF(D93="","-",+C113+1)</f>
        <v>2033</v>
      </c>
      <c r="D114" s="346">
        <f>IF(F113+SUM(E$99:E113)=D$92,F113,D$92-SUM(E$99:E113))</f>
        <v>747976.5</v>
      </c>
      <c r="E114" s="484">
        <f t="shared" si="19"/>
        <v>28429</v>
      </c>
      <c r="F114" s="485">
        <f t="shared" si="20"/>
        <v>719547.5</v>
      </c>
      <c r="G114" s="485">
        <f t="shared" si="21"/>
        <v>733762</v>
      </c>
      <c r="H114" s="613">
        <f t="shared" si="22"/>
        <v>111925.82740035295</v>
      </c>
      <c r="I114" s="614">
        <f t="shared" si="23"/>
        <v>111925.82740035295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 ht="12.5">
      <c r="B115" s="160" t="str">
        <f t="shared" si="18"/>
        <v/>
      </c>
      <c r="C115" s="472">
        <f>IF(D93="","-",+C114+1)</f>
        <v>2034</v>
      </c>
      <c r="D115" s="346">
        <f>IF(F114+SUM(E$99:E114)=D$92,F114,D$92-SUM(E$99:E114))</f>
        <v>719547.5</v>
      </c>
      <c r="E115" s="484">
        <f t="shared" si="19"/>
        <v>28429</v>
      </c>
      <c r="F115" s="485">
        <f t="shared" si="20"/>
        <v>691118.5</v>
      </c>
      <c r="G115" s="485">
        <f t="shared" si="21"/>
        <v>705333</v>
      </c>
      <c r="H115" s="613">
        <f t="shared" si="22"/>
        <v>108690.81208726147</v>
      </c>
      <c r="I115" s="614">
        <f t="shared" si="23"/>
        <v>108690.81208726147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 ht="12.5">
      <c r="B116" s="160" t="str">
        <f t="shared" si="18"/>
        <v/>
      </c>
      <c r="C116" s="472">
        <f>IF(D93="","-",+C115+1)</f>
        <v>2035</v>
      </c>
      <c r="D116" s="346">
        <f>IF(F115+SUM(E$99:E115)=D$92,F115,D$92-SUM(E$99:E115))</f>
        <v>691118.5</v>
      </c>
      <c r="E116" s="484">
        <f t="shared" si="19"/>
        <v>28429</v>
      </c>
      <c r="F116" s="485">
        <f t="shared" si="20"/>
        <v>662689.5</v>
      </c>
      <c r="G116" s="485">
        <f t="shared" si="21"/>
        <v>676904</v>
      </c>
      <c r="H116" s="613">
        <f t="shared" si="22"/>
        <v>105455.79677416998</v>
      </c>
      <c r="I116" s="614">
        <f t="shared" si="23"/>
        <v>105455.79677416998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 ht="12.5">
      <c r="B117" s="160" t="str">
        <f t="shared" si="18"/>
        <v/>
      </c>
      <c r="C117" s="472">
        <f>IF(D93="","-",+C116+1)</f>
        <v>2036</v>
      </c>
      <c r="D117" s="346">
        <f>IF(F116+SUM(E$99:E116)=D$92,F116,D$92-SUM(E$99:E116))</f>
        <v>662689.5</v>
      </c>
      <c r="E117" s="484">
        <f t="shared" si="19"/>
        <v>28429</v>
      </c>
      <c r="F117" s="485">
        <f t="shared" si="20"/>
        <v>634260.5</v>
      </c>
      <c r="G117" s="485">
        <f t="shared" si="21"/>
        <v>648475</v>
      </c>
      <c r="H117" s="613">
        <f t="shared" si="22"/>
        <v>102220.7814610785</v>
      </c>
      <c r="I117" s="614">
        <f t="shared" si="23"/>
        <v>102220.7814610785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 ht="12.5">
      <c r="B118" s="160" t="str">
        <f t="shared" si="18"/>
        <v/>
      </c>
      <c r="C118" s="472">
        <f>IF(D93="","-",+C117+1)</f>
        <v>2037</v>
      </c>
      <c r="D118" s="346">
        <f>IF(F117+SUM(E$99:E117)=D$92,F117,D$92-SUM(E$99:E117))</f>
        <v>634260.5</v>
      </c>
      <c r="E118" s="484">
        <f t="shared" si="19"/>
        <v>28429</v>
      </c>
      <c r="F118" s="485">
        <f t="shared" si="20"/>
        <v>605831.5</v>
      </c>
      <c r="G118" s="485">
        <f t="shared" si="21"/>
        <v>620046</v>
      </c>
      <c r="H118" s="613">
        <f t="shared" si="22"/>
        <v>98985.766147987015</v>
      </c>
      <c r="I118" s="614">
        <f t="shared" si="23"/>
        <v>98985.766147987015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 ht="12.5">
      <c r="B119" s="160" t="str">
        <f t="shared" si="18"/>
        <v/>
      </c>
      <c r="C119" s="472">
        <f>IF(D93="","-",+C118+1)</f>
        <v>2038</v>
      </c>
      <c r="D119" s="346">
        <f>IF(F118+SUM(E$99:E118)=D$92,F118,D$92-SUM(E$99:E118))</f>
        <v>605831.5</v>
      </c>
      <c r="E119" s="484">
        <f t="shared" si="19"/>
        <v>28429</v>
      </c>
      <c r="F119" s="485">
        <f t="shared" si="20"/>
        <v>577402.5</v>
      </c>
      <c r="G119" s="485">
        <f t="shared" si="21"/>
        <v>591617</v>
      </c>
      <c r="H119" s="613">
        <f t="shared" si="22"/>
        <v>95750.750834895516</v>
      </c>
      <c r="I119" s="614">
        <f t="shared" si="23"/>
        <v>95750.750834895516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 ht="12.5">
      <c r="B120" s="160" t="str">
        <f t="shared" si="18"/>
        <v/>
      </c>
      <c r="C120" s="472">
        <f>IF(D93="","-",+C119+1)</f>
        <v>2039</v>
      </c>
      <c r="D120" s="346">
        <f>IF(F119+SUM(E$99:E119)=D$92,F119,D$92-SUM(E$99:E119))</f>
        <v>577402.5</v>
      </c>
      <c r="E120" s="484">
        <f t="shared" si="19"/>
        <v>28429</v>
      </c>
      <c r="F120" s="485">
        <f t="shared" si="20"/>
        <v>548973.5</v>
      </c>
      <c r="G120" s="485">
        <f t="shared" si="21"/>
        <v>563188</v>
      </c>
      <c r="H120" s="613">
        <f t="shared" si="22"/>
        <v>92515.735521804047</v>
      </c>
      <c r="I120" s="614">
        <f t="shared" si="23"/>
        <v>92515.735521804047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 ht="12.5">
      <c r="B121" s="160" t="str">
        <f t="shared" si="18"/>
        <v/>
      </c>
      <c r="C121" s="472">
        <f>IF(D93="","-",+C120+1)</f>
        <v>2040</v>
      </c>
      <c r="D121" s="346">
        <f>IF(F120+SUM(E$99:E120)=D$92,F120,D$92-SUM(E$99:E120))</f>
        <v>548973.5</v>
      </c>
      <c r="E121" s="484">
        <f t="shared" si="19"/>
        <v>28429</v>
      </c>
      <c r="F121" s="485">
        <f t="shared" si="20"/>
        <v>520544.5</v>
      </c>
      <c r="G121" s="485">
        <f t="shared" si="21"/>
        <v>534759</v>
      </c>
      <c r="H121" s="613">
        <f t="shared" si="22"/>
        <v>89280.720208712562</v>
      </c>
      <c r="I121" s="614">
        <f t="shared" si="23"/>
        <v>89280.720208712562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 ht="12.5">
      <c r="B122" s="160" t="str">
        <f t="shared" si="18"/>
        <v/>
      </c>
      <c r="C122" s="472">
        <f>IF(D93="","-",+C121+1)</f>
        <v>2041</v>
      </c>
      <c r="D122" s="346">
        <f>IF(F121+SUM(E$99:E121)=D$92,F121,D$92-SUM(E$99:E121))</f>
        <v>520544.5</v>
      </c>
      <c r="E122" s="484">
        <f t="shared" si="19"/>
        <v>28429</v>
      </c>
      <c r="F122" s="485">
        <f t="shared" si="20"/>
        <v>492115.5</v>
      </c>
      <c r="G122" s="485">
        <f t="shared" si="21"/>
        <v>506330</v>
      </c>
      <c r="H122" s="613">
        <f t="shared" si="22"/>
        <v>86045.704895621078</v>
      </c>
      <c r="I122" s="614">
        <f t="shared" si="23"/>
        <v>86045.704895621078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 ht="12.5">
      <c r="B123" s="160" t="str">
        <f t="shared" si="18"/>
        <v/>
      </c>
      <c r="C123" s="472">
        <f>IF(D93="","-",+C122+1)</f>
        <v>2042</v>
      </c>
      <c r="D123" s="346">
        <f>IF(F122+SUM(E$99:E122)=D$92,F122,D$92-SUM(E$99:E122))</f>
        <v>492115.5</v>
      </c>
      <c r="E123" s="484">
        <f t="shared" si="19"/>
        <v>28429</v>
      </c>
      <c r="F123" s="485">
        <f t="shared" si="20"/>
        <v>463686.5</v>
      </c>
      <c r="G123" s="485">
        <f t="shared" si="21"/>
        <v>477901</v>
      </c>
      <c r="H123" s="613">
        <f t="shared" si="22"/>
        <v>82810.689582529594</v>
      </c>
      <c r="I123" s="614">
        <f t="shared" si="23"/>
        <v>82810.689582529594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 ht="12.5">
      <c r="B124" s="160" t="str">
        <f t="shared" si="18"/>
        <v/>
      </c>
      <c r="C124" s="472">
        <f>IF(D93="","-",+C123+1)</f>
        <v>2043</v>
      </c>
      <c r="D124" s="346">
        <f>IF(F123+SUM(E$99:E123)=D$92,F123,D$92-SUM(E$99:E123))</f>
        <v>463686.5</v>
      </c>
      <c r="E124" s="484">
        <f t="shared" si="19"/>
        <v>28429</v>
      </c>
      <c r="F124" s="485">
        <f t="shared" si="20"/>
        <v>435257.5</v>
      </c>
      <c r="G124" s="485">
        <f t="shared" si="21"/>
        <v>449472</v>
      </c>
      <c r="H124" s="613">
        <f t="shared" si="22"/>
        <v>79575.67426943811</v>
      </c>
      <c r="I124" s="614">
        <f t="shared" si="23"/>
        <v>79575.67426943811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 ht="12.5">
      <c r="B125" s="160" t="str">
        <f t="shared" si="18"/>
        <v/>
      </c>
      <c r="C125" s="472">
        <f>IF(D93="","-",+C124+1)</f>
        <v>2044</v>
      </c>
      <c r="D125" s="346">
        <f>IF(F124+SUM(E$99:E124)=D$92,F124,D$92-SUM(E$99:E124))</f>
        <v>435257.5</v>
      </c>
      <c r="E125" s="484">
        <f t="shared" si="19"/>
        <v>28429</v>
      </c>
      <c r="F125" s="485">
        <f t="shared" si="20"/>
        <v>406828.5</v>
      </c>
      <c r="G125" s="485">
        <f t="shared" si="21"/>
        <v>421043</v>
      </c>
      <c r="H125" s="613">
        <f t="shared" si="22"/>
        <v>76340.658956346626</v>
      </c>
      <c r="I125" s="614">
        <f t="shared" si="23"/>
        <v>76340.658956346626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 ht="12.5">
      <c r="B126" s="160" t="str">
        <f t="shared" si="18"/>
        <v/>
      </c>
      <c r="C126" s="472">
        <f>IF(D93="","-",+C125+1)</f>
        <v>2045</v>
      </c>
      <c r="D126" s="346">
        <f>IF(F125+SUM(E$99:E125)=D$92,F125,D$92-SUM(E$99:E125))</f>
        <v>406828.5</v>
      </c>
      <c r="E126" s="484">
        <f t="shared" si="19"/>
        <v>28429</v>
      </c>
      <c r="F126" s="485">
        <f t="shared" si="20"/>
        <v>378399.5</v>
      </c>
      <c r="G126" s="485">
        <f t="shared" si="21"/>
        <v>392614</v>
      </c>
      <c r="H126" s="613">
        <f t="shared" si="22"/>
        <v>73105.643643255142</v>
      </c>
      <c r="I126" s="614">
        <f t="shared" si="23"/>
        <v>73105.643643255142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 ht="12.5">
      <c r="B127" s="160" t="str">
        <f t="shared" si="18"/>
        <v/>
      </c>
      <c r="C127" s="472">
        <f>IF(D93="","-",+C126+1)</f>
        <v>2046</v>
      </c>
      <c r="D127" s="346">
        <f>IF(F126+SUM(E$99:E126)=D$92,F126,D$92-SUM(E$99:E126))</f>
        <v>378399.5</v>
      </c>
      <c r="E127" s="484">
        <f t="shared" si="19"/>
        <v>28429</v>
      </c>
      <c r="F127" s="485">
        <f t="shared" si="20"/>
        <v>349970.5</v>
      </c>
      <c r="G127" s="485">
        <f t="shared" si="21"/>
        <v>364185</v>
      </c>
      <c r="H127" s="613">
        <f t="shared" si="22"/>
        <v>69870.628330163643</v>
      </c>
      <c r="I127" s="614">
        <f t="shared" si="23"/>
        <v>69870.628330163643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 ht="12.5">
      <c r="B128" s="160" t="str">
        <f t="shared" si="18"/>
        <v/>
      </c>
      <c r="C128" s="472">
        <f>IF(D93="","-",+C127+1)</f>
        <v>2047</v>
      </c>
      <c r="D128" s="346">
        <f>IF(F127+SUM(E$99:E127)=D$92,F127,D$92-SUM(E$99:E127))</f>
        <v>349970.5</v>
      </c>
      <c r="E128" s="484">
        <f t="shared" si="19"/>
        <v>28429</v>
      </c>
      <c r="F128" s="485">
        <f t="shared" si="20"/>
        <v>321541.5</v>
      </c>
      <c r="G128" s="485">
        <f t="shared" si="21"/>
        <v>335756</v>
      </c>
      <c r="H128" s="613">
        <f t="shared" si="22"/>
        <v>66635.613017072159</v>
      </c>
      <c r="I128" s="614">
        <f t="shared" si="23"/>
        <v>66635.613017072159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 ht="12.5">
      <c r="B129" s="160" t="str">
        <f t="shared" si="18"/>
        <v/>
      </c>
      <c r="C129" s="472">
        <f>IF(D93="","-",+C128+1)</f>
        <v>2048</v>
      </c>
      <c r="D129" s="346">
        <f>IF(F128+SUM(E$99:E128)=D$92,F128,D$92-SUM(E$99:E128))</f>
        <v>321541.5</v>
      </c>
      <c r="E129" s="484">
        <f t="shared" si="19"/>
        <v>28429</v>
      </c>
      <c r="F129" s="485">
        <f t="shared" si="20"/>
        <v>293112.5</v>
      </c>
      <c r="G129" s="485">
        <f t="shared" si="21"/>
        <v>307327</v>
      </c>
      <c r="H129" s="613">
        <f t="shared" si="22"/>
        <v>63400.597703980675</v>
      </c>
      <c r="I129" s="614">
        <f t="shared" si="23"/>
        <v>63400.597703980675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 ht="12.5">
      <c r="B130" s="160" t="str">
        <f t="shared" si="18"/>
        <v/>
      </c>
      <c r="C130" s="472">
        <f>IF(D93="","-",+C129+1)</f>
        <v>2049</v>
      </c>
      <c r="D130" s="346">
        <f>IF(F129+SUM(E$99:E129)=D$92,F129,D$92-SUM(E$99:E129))</f>
        <v>293112.5</v>
      </c>
      <c r="E130" s="484">
        <f t="shared" si="19"/>
        <v>28429</v>
      </c>
      <c r="F130" s="485">
        <f t="shared" si="20"/>
        <v>264683.5</v>
      </c>
      <c r="G130" s="485">
        <f t="shared" si="21"/>
        <v>278898</v>
      </c>
      <c r="H130" s="613">
        <f t="shared" si="22"/>
        <v>60165.582390889191</v>
      </c>
      <c r="I130" s="614">
        <f t="shared" si="23"/>
        <v>60165.582390889191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 ht="12.5">
      <c r="B131" s="160" t="str">
        <f t="shared" si="18"/>
        <v/>
      </c>
      <c r="C131" s="472">
        <f>IF(D93="","-",+C130+1)</f>
        <v>2050</v>
      </c>
      <c r="D131" s="346">
        <f>IF(F130+SUM(E$99:E130)=D$92,F130,D$92-SUM(E$99:E130))</f>
        <v>264683.5</v>
      </c>
      <c r="E131" s="484">
        <f t="shared" si="19"/>
        <v>28429</v>
      </c>
      <c r="F131" s="485">
        <f t="shared" si="20"/>
        <v>236254.5</v>
      </c>
      <c r="G131" s="485">
        <f t="shared" si="21"/>
        <v>250469</v>
      </c>
      <c r="H131" s="613">
        <f t="shared" si="22"/>
        <v>56930.567077797707</v>
      </c>
      <c r="I131" s="614">
        <f t="shared" si="23"/>
        <v>56930.567077797707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8"/>
        <v/>
      </c>
      <c r="C132" s="472">
        <f>IF(D93="","-",+C131+1)</f>
        <v>2051</v>
      </c>
      <c r="D132" s="346">
        <f>IF(F131+SUM(E$99:E131)=D$92,F131,D$92-SUM(E$99:E131))</f>
        <v>236254.5</v>
      </c>
      <c r="E132" s="484">
        <f t="shared" si="19"/>
        <v>28429</v>
      </c>
      <c r="F132" s="485">
        <f t="shared" si="20"/>
        <v>207825.5</v>
      </c>
      <c r="G132" s="485">
        <f t="shared" si="21"/>
        <v>222040</v>
      </c>
      <c r="H132" s="613">
        <f t="shared" si="22"/>
        <v>53695.551764706222</v>
      </c>
      <c r="I132" s="614">
        <f t="shared" si="23"/>
        <v>53695.551764706222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8"/>
        <v/>
      </c>
      <c r="C133" s="472">
        <f>IF(D93="","-",+C132+1)</f>
        <v>2052</v>
      </c>
      <c r="D133" s="346">
        <f>IF(F132+SUM(E$99:E132)=D$92,F132,D$92-SUM(E$99:E132))</f>
        <v>207825.5</v>
      </c>
      <c r="E133" s="484">
        <f t="shared" si="19"/>
        <v>28429</v>
      </c>
      <c r="F133" s="485">
        <f t="shared" si="20"/>
        <v>179396.5</v>
      </c>
      <c r="G133" s="485">
        <f t="shared" si="21"/>
        <v>193611</v>
      </c>
      <c r="H133" s="613">
        <f t="shared" si="22"/>
        <v>50460.536451614738</v>
      </c>
      <c r="I133" s="614">
        <f t="shared" si="23"/>
        <v>50460.536451614738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8"/>
        <v/>
      </c>
      <c r="C134" s="472">
        <f>IF(D93="","-",+C133+1)</f>
        <v>2053</v>
      </c>
      <c r="D134" s="346">
        <f>IF(F133+SUM(E$99:E133)=D$92,F133,D$92-SUM(E$99:E133))</f>
        <v>179396.5</v>
      </c>
      <c r="E134" s="484">
        <f t="shared" si="19"/>
        <v>28429</v>
      </c>
      <c r="F134" s="485">
        <f t="shared" si="20"/>
        <v>150967.5</v>
      </c>
      <c r="G134" s="485">
        <f t="shared" si="21"/>
        <v>165182</v>
      </c>
      <c r="H134" s="613">
        <f t="shared" si="22"/>
        <v>47225.521138523254</v>
      </c>
      <c r="I134" s="614">
        <f t="shared" si="23"/>
        <v>47225.521138523254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8"/>
        <v/>
      </c>
      <c r="C135" s="472">
        <f>IF(D93="","-",+C134+1)</f>
        <v>2054</v>
      </c>
      <c r="D135" s="346">
        <f>IF(F134+SUM(E$99:E134)=D$92,F134,D$92-SUM(E$99:E134))</f>
        <v>150967.5</v>
      </c>
      <c r="E135" s="484">
        <f t="shared" si="19"/>
        <v>28429</v>
      </c>
      <c r="F135" s="485">
        <f t="shared" si="20"/>
        <v>122538.5</v>
      </c>
      <c r="G135" s="485">
        <f t="shared" si="21"/>
        <v>136753</v>
      </c>
      <c r="H135" s="613">
        <f t="shared" si="22"/>
        <v>43990.50582543177</v>
      </c>
      <c r="I135" s="614">
        <f t="shared" si="23"/>
        <v>43990.50582543177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8"/>
        <v/>
      </c>
      <c r="C136" s="472">
        <f>IF(D93="","-",+C135+1)</f>
        <v>2055</v>
      </c>
      <c r="D136" s="346">
        <f>IF(F135+SUM(E$99:E135)=D$92,F135,D$92-SUM(E$99:E135))</f>
        <v>122538.5</v>
      </c>
      <c r="E136" s="484">
        <f t="shared" si="19"/>
        <v>28429</v>
      </c>
      <c r="F136" s="485">
        <f t="shared" si="20"/>
        <v>94109.5</v>
      </c>
      <c r="G136" s="485">
        <f t="shared" si="21"/>
        <v>108324</v>
      </c>
      <c r="H136" s="613">
        <f t="shared" si="22"/>
        <v>40755.490512340286</v>
      </c>
      <c r="I136" s="614">
        <f t="shared" si="23"/>
        <v>40755.490512340286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8"/>
        <v/>
      </c>
      <c r="C137" s="472">
        <f>IF(D93="","-",+C136+1)</f>
        <v>2056</v>
      </c>
      <c r="D137" s="346">
        <f>IF(F136+SUM(E$99:E136)=D$92,F136,D$92-SUM(E$99:E136))</f>
        <v>94109.5</v>
      </c>
      <c r="E137" s="484">
        <f t="shared" si="19"/>
        <v>28429</v>
      </c>
      <c r="F137" s="485">
        <f t="shared" si="20"/>
        <v>65680.5</v>
      </c>
      <c r="G137" s="485">
        <f t="shared" si="21"/>
        <v>79895</v>
      </c>
      <c r="H137" s="613">
        <f t="shared" si="22"/>
        <v>37520.475199248802</v>
      </c>
      <c r="I137" s="614">
        <f t="shared" si="23"/>
        <v>37520.475199248802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8"/>
        <v/>
      </c>
      <c r="C138" s="472">
        <f>IF(D93="","-",+C137+1)</f>
        <v>2057</v>
      </c>
      <c r="D138" s="346">
        <f>IF(F137+SUM(E$99:E137)=D$92,F137,D$92-SUM(E$99:E137))</f>
        <v>65680.5</v>
      </c>
      <c r="E138" s="484">
        <f t="shared" si="19"/>
        <v>28429</v>
      </c>
      <c r="F138" s="485">
        <f t="shared" si="20"/>
        <v>37251.5</v>
      </c>
      <c r="G138" s="485">
        <f t="shared" si="21"/>
        <v>51466</v>
      </c>
      <c r="H138" s="613">
        <f t="shared" si="22"/>
        <v>34285.459886157318</v>
      </c>
      <c r="I138" s="614">
        <f t="shared" si="23"/>
        <v>34285.459886157318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8"/>
        <v/>
      </c>
      <c r="C139" s="472">
        <f>IF(D93="","-",+C138+1)</f>
        <v>2058</v>
      </c>
      <c r="D139" s="346">
        <f>IF(F138+SUM(E$99:E138)=D$92,F138,D$92-SUM(E$99:E138))</f>
        <v>37251.5</v>
      </c>
      <c r="E139" s="484">
        <f t="shared" si="19"/>
        <v>28429</v>
      </c>
      <c r="F139" s="485">
        <f t="shared" si="20"/>
        <v>8822.5</v>
      </c>
      <c r="G139" s="485">
        <f t="shared" si="21"/>
        <v>23037</v>
      </c>
      <c r="H139" s="613">
        <f t="shared" si="22"/>
        <v>31050.444573065834</v>
      </c>
      <c r="I139" s="614">
        <f t="shared" si="23"/>
        <v>31050.444573065834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8"/>
        <v/>
      </c>
      <c r="C140" s="472">
        <f>IF(D93="","-",+C139+1)</f>
        <v>2059</v>
      </c>
      <c r="D140" s="346">
        <f>IF(F139+SUM(E$99:E139)=D$92,F139,D$92-SUM(E$99:E139))</f>
        <v>8822.5</v>
      </c>
      <c r="E140" s="484">
        <f t="shared" si="19"/>
        <v>8822.5</v>
      </c>
      <c r="F140" s="485">
        <f t="shared" si="20"/>
        <v>0</v>
      </c>
      <c r="G140" s="485">
        <f t="shared" si="21"/>
        <v>4411.25</v>
      </c>
      <c r="H140" s="613">
        <f t="shared" si="22"/>
        <v>9324.4684582600439</v>
      </c>
      <c r="I140" s="614">
        <f t="shared" si="23"/>
        <v>9324.4684582600439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8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613">
        <f t="shared" si="22"/>
        <v>0</v>
      </c>
      <c r="I141" s="614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8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613">
        <f t="shared" si="22"/>
        <v>0</v>
      </c>
      <c r="I142" s="614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8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613">
        <f t="shared" si="22"/>
        <v>0</v>
      </c>
      <c r="I143" s="614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8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613">
        <f t="shared" si="22"/>
        <v>0</v>
      </c>
      <c r="I144" s="614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8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613">
        <f t="shared" si="22"/>
        <v>0</v>
      </c>
      <c r="I145" s="614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8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613">
        <f t="shared" si="22"/>
        <v>0</v>
      </c>
      <c r="I146" s="614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8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613">
        <f t="shared" si="22"/>
        <v>0</v>
      </c>
      <c r="I147" s="614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8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613">
        <f t="shared" si="22"/>
        <v>0</v>
      </c>
      <c r="I148" s="614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8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613">
        <f t="shared" si="22"/>
        <v>0</v>
      </c>
      <c r="I149" s="614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8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613">
        <f t="shared" si="22"/>
        <v>0</v>
      </c>
      <c r="I150" s="614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8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613">
        <f t="shared" si="22"/>
        <v>0</v>
      </c>
      <c r="I151" s="614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8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613">
        <f t="shared" si="22"/>
        <v>0</v>
      </c>
      <c r="I152" s="614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8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613">
        <f t="shared" si="22"/>
        <v>0</v>
      </c>
      <c r="I153" s="614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5">
        <f t="shared" si="22"/>
        <v>0</v>
      </c>
      <c r="I154" s="616">
        <f t="shared" si="23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1165593</v>
      </c>
      <c r="F155" s="347"/>
      <c r="G155" s="347"/>
      <c r="H155" s="347">
        <f>SUM(H99:H154)</f>
        <v>3875001.0930760545</v>
      </c>
      <c r="I155" s="347">
        <f>SUM(I99:I154)</f>
        <v>3875001.0930760545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2"/>
  <sheetViews>
    <sheetView zoomScale="80" zoomScaleNormal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24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176400.42982895498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176400.42982895498</v>
      </c>
      <c r="O6" s="232"/>
      <c r="P6" s="232"/>
    </row>
    <row r="7" spans="1:16" ht="13.5" thickBot="1">
      <c r="C7" s="431" t="s">
        <v>46</v>
      </c>
      <c r="D7" s="599" t="s">
        <v>306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307</v>
      </c>
      <c r="E9" s="577" t="s">
        <v>308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1345382.62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34496.990256410259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13511.111111111109</v>
      </c>
      <c r="F17" s="584">
        <v>1202488.888888889</v>
      </c>
      <c r="G17" s="608">
        <v>85515.508884209848</v>
      </c>
      <c r="H17" s="587">
        <v>85515.508884209848</v>
      </c>
      <c r="I17" s="475">
        <f>H17-G17</f>
        <v>0</v>
      </c>
      <c r="J17" s="475"/>
      <c r="K17" s="554">
        <f>+G17</f>
        <v>85515.508884209848</v>
      </c>
      <c r="L17" s="477">
        <f t="shared" ref="L17:L72" si="0">IF(K17&lt;&gt;0,+G17-K17,0)</f>
        <v>0</v>
      </c>
      <c r="M17" s="554">
        <f>+H17</f>
        <v>85515.508884209848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2019</v>
      </c>
      <c r="D18" s="584">
        <v>1202488.888888889</v>
      </c>
      <c r="E18" s="585">
        <v>30400</v>
      </c>
      <c r="F18" s="584">
        <v>1172088.888888889</v>
      </c>
      <c r="G18" s="585">
        <v>162968.67771034624</v>
      </c>
      <c r="H18" s="587">
        <v>162968.67771034624</v>
      </c>
      <c r="I18" s="475">
        <f>H18-G18</f>
        <v>0</v>
      </c>
      <c r="J18" s="475"/>
      <c r="K18" s="478">
        <f>+G18</f>
        <v>162968.67771034624</v>
      </c>
      <c r="L18" s="478">
        <f t="shared" si="0"/>
        <v>0</v>
      </c>
      <c r="M18" s="478">
        <f>+H18</f>
        <v>162968.67771034624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1304405.6666666667</v>
      </c>
      <c r="E19" s="585">
        <v>32022.357142857141</v>
      </c>
      <c r="F19" s="584">
        <v>1272383.3095238097</v>
      </c>
      <c r="G19" s="585">
        <v>171175.11640159666</v>
      </c>
      <c r="H19" s="587">
        <v>171175.11640159666</v>
      </c>
      <c r="I19" s="475">
        <f t="shared" ref="I19:I71" si="3">H19-G19</f>
        <v>0</v>
      </c>
      <c r="J19" s="475"/>
      <c r="K19" s="478">
        <f>+G19</f>
        <v>171175.11640159666</v>
      </c>
      <c r="L19" s="478">
        <f t="shared" ref="L19" si="4">IF(K19&lt;&gt;0,+G19-K19,0)</f>
        <v>0</v>
      </c>
      <c r="M19" s="478">
        <f>+H19</f>
        <v>171175.11640159666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584">
        <v>1269449.5317460317</v>
      </c>
      <c r="E20" s="585">
        <v>31287.976744186046</v>
      </c>
      <c r="F20" s="584">
        <v>1238161.5550018456</v>
      </c>
      <c r="G20" s="585">
        <v>166475.36158990141</v>
      </c>
      <c r="H20" s="587">
        <v>166475.36158990141</v>
      </c>
      <c r="I20" s="475">
        <f t="shared" si="3"/>
        <v>0</v>
      </c>
      <c r="J20" s="475"/>
      <c r="K20" s="478">
        <f>+G20</f>
        <v>166475.36158990141</v>
      </c>
      <c r="L20" s="478">
        <f t="shared" ref="L20" si="6">IF(K20&lt;&gt;0,+G20-K20,0)</f>
        <v>0</v>
      </c>
      <c r="M20" s="478">
        <f>+H20</f>
        <v>166475.36158990141</v>
      </c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584">
        <v>1238161.5550018456</v>
      </c>
      <c r="E21" s="585">
        <v>32032.928571428572</v>
      </c>
      <c r="F21" s="584">
        <v>1206128.6264304169</v>
      </c>
      <c r="G21" s="585">
        <v>163793.91335875148</v>
      </c>
      <c r="H21" s="587">
        <v>163793.91335875148</v>
      </c>
      <c r="I21" s="475">
        <f t="shared" si="3"/>
        <v>0</v>
      </c>
      <c r="J21" s="475"/>
      <c r="K21" s="478">
        <f>+G21</f>
        <v>163793.91335875148</v>
      </c>
      <c r="L21" s="478">
        <f t="shared" ref="L21" si="7">IF(K21&lt;&gt;0,+G21-K21,0)</f>
        <v>0</v>
      </c>
      <c r="M21" s="478">
        <f>+H21</f>
        <v>163793.91335875148</v>
      </c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>IU</v>
      </c>
      <c r="C22" s="472">
        <f>IF(D11="","-",+C21+1)</f>
        <v>2023</v>
      </c>
      <c r="D22" s="483">
        <f>IF(F21+SUM(E$17:E21)=D$10,F21,D$10-SUM(E$17:E21))</f>
        <v>1206128.2464304173</v>
      </c>
      <c r="E22" s="484">
        <f t="shared" ref="E22:E71" si="8">IF(+I$14&lt;F21,I$14,D22)</f>
        <v>34496.990256410259</v>
      </c>
      <c r="F22" s="485">
        <f t="shared" ref="F22:F71" si="9">+D22-E22</f>
        <v>1171631.256174007</v>
      </c>
      <c r="G22" s="486">
        <f t="shared" ref="G22:G71" si="10">(D22+F22)/2*I$12+E22</f>
        <v>176400.42982895498</v>
      </c>
      <c r="H22" s="455">
        <f t="shared" ref="H22:H71" si="11">+(D22+F22)/2*I$13+E22</f>
        <v>176400.42982895498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1171631.256174007</v>
      </c>
      <c r="E23" s="484">
        <f t="shared" si="8"/>
        <v>34496.990256410259</v>
      </c>
      <c r="F23" s="485">
        <f t="shared" si="9"/>
        <v>1137134.2659175966</v>
      </c>
      <c r="G23" s="486">
        <f t="shared" si="10"/>
        <v>172282.90527113216</v>
      </c>
      <c r="H23" s="455">
        <f t="shared" si="11"/>
        <v>172282.90527113216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1137134.2659175966</v>
      </c>
      <c r="E24" s="484">
        <f t="shared" si="8"/>
        <v>34496.990256410259</v>
      </c>
      <c r="F24" s="485">
        <f t="shared" si="9"/>
        <v>1102637.2756611863</v>
      </c>
      <c r="G24" s="486">
        <f t="shared" si="10"/>
        <v>168165.38071330925</v>
      </c>
      <c r="H24" s="455">
        <f t="shared" si="11"/>
        <v>168165.38071330925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1102637.2756611863</v>
      </c>
      <c r="E25" s="484">
        <f t="shared" si="8"/>
        <v>34496.990256410259</v>
      </c>
      <c r="F25" s="485">
        <f t="shared" si="9"/>
        <v>1068140.285404776</v>
      </c>
      <c r="G25" s="486">
        <f t="shared" si="10"/>
        <v>164047.85615548643</v>
      </c>
      <c r="H25" s="455">
        <f t="shared" si="11"/>
        <v>164047.85615548643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1068140.285404776</v>
      </c>
      <c r="E26" s="484">
        <f t="shared" si="8"/>
        <v>34496.990256410259</v>
      </c>
      <c r="F26" s="485">
        <f t="shared" si="9"/>
        <v>1033643.2951483658</v>
      </c>
      <c r="G26" s="486">
        <f t="shared" si="10"/>
        <v>159930.33159766358</v>
      </c>
      <c r="H26" s="455">
        <f t="shared" si="11"/>
        <v>159930.33159766358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1033643.2951483658</v>
      </c>
      <c r="E27" s="484">
        <f t="shared" si="8"/>
        <v>34496.990256410259</v>
      </c>
      <c r="F27" s="485">
        <f t="shared" si="9"/>
        <v>999146.30489195557</v>
      </c>
      <c r="G27" s="486">
        <f t="shared" si="10"/>
        <v>155812.80703984073</v>
      </c>
      <c r="H27" s="455">
        <f t="shared" si="11"/>
        <v>155812.80703984073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999146.30489195557</v>
      </c>
      <c r="E28" s="484">
        <f t="shared" si="8"/>
        <v>34496.990256410259</v>
      </c>
      <c r="F28" s="485">
        <f t="shared" si="9"/>
        <v>964649.31463554536</v>
      </c>
      <c r="G28" s="486">
        <f t="shared" si="10"/>
        <v>151695.28248201788</v>
      </c>
      <c r="H28" s="455">
        <f t="shared" si="11"/>
        <v>151695.28248201788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964649.31463554536</v>
      </c>
      <c r="E29" s="484">
        <f t="shared" si="8"/>
        <v>34496.990256410259</v>
      </c>
      <c r="F29" s="485">
        <f t="shared" si="9"/>
        <v>930152.32437913516</v>
      </c>
      <c r="G29" s="486">
        <f t="shared" si="10"/>
        <v>147577.75792419503</v>
      </c>
      <c r="H29" s="455">
        <f t="shared" si="11"/>
        <v>147577.75792419503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930152.32437913516</v>
      </c>
      <c r="E30" s="484">
        <f t="shared" si="8"/>
        <v>34496.990256410259</v>
      </c>
      <c r="F30" s="485">
        <f t="shared" si="9"/>
        <v>895655.33412272495</v>
      </c>
      <c r="G30" s="486">
        <f t="shared" si="10"/>
        <v>143460.23336637221</v>
      </c>
      <c r="H30" s="455">
        <f t="shared" si="11"/>
        <v>143460.23336637221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895655.33412272495</v>
      </c>
      <c r="E31" s="484">
        <f t="shared" si="8"/>
        <v>34496.990256410259</v>
      </c>
      <c r="F31" s="485">
        <f t="shared" si="9"/>
        <v>861158.34386631474</v>
      </c>
      <c r="G31" s="486">
        <f t="shared" si="10"/>
        <v>139342.70880854936</v>
      </c>
      <c r="H31" s="455">
        <f t="shared" si="11"/>
        <v>139342.70880854936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861158.34386631474</v>
      </c>
      <c r="E32" s="484">
        <f t="shared" si="8"/>
        <v>34496.990256410259</v>
      </c>
      <c r="F32" s="485">
        <f t="shared" si="9"/>
        <v>826661.35360990453</v>
      </c>
      <c r="G32" s="486">
        <f t="shared" si="10"/>
        <v>135225.18425072654</v>
      </c>
      <c r="H32" s="455">
        <f t="shared" si="11"/>
        <v>135225.18425072654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826661.35360990453</v>
      </c>
      <c r="E33" s="484">
        <f t="shared" si="8"/>
        <v>34496.990256410259</v>
      </c>
      <c r="F33" s="485">
        <f t="shared" si="9"/>
        <v>792164.36335349432</v>
      </c>
      <c r="G33" s="486">
        <f t="shared" si="10"/>
        <v>131107.65969290366</v>
      </c>
      <c r="H33" s="455">
        <f t="shared" si="11"/>
        <v>131107.65969290366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792164.36335349432</v>
      </c>
      <c r="E34" s="484">
        <f t="shared" si="8"/>
        <v>34496.990256410259</v>
      </c>
      <c r="F34" s="485">
        <f t="shared" si="9"/>
        <v>757667.37309708411</v>
      </c>
      <c r="G34" s="486">
        <f t="shared" si="10"/>
        <v>126990.13513508084</v>
      </c>
      <c r="H34" s="455">
        <f t="shared" si="11"/>
        <v>126990.13513508084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757667.37309708411</v>
      </c>
      <c r="E35" s="484">
        <f t="shared" si="8"/>
        <v>34496.990256410259</v>
      </c>
      <c r="F35" s="485">
        <f t="shared" si="9"/>
        <v>723170.3828406739</v>
      </c>
      <c r="G35" s="486">
        <f t="shared" si="10"/>
        <v>122872.61057725799</v>
      </c>
      <c r="H35" s="455">
        <f t="shared" si="11"/>
        <v>122872.61057725799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723170.3828406739</v>
      </c>
      <c r="E36" s="484">
        <f t="shared" si="8"/>
        <v>34496.990256410259</v>
      </c>
      <c r="F36" s="485">
        <f t="shared" si="9"/>
        <v>688673.3925842637</v>
      </c>
      <c r="G36" s="486">
        <f t="shared" si="10"/>
        <v>118755.08601943517</v>
      </c>
      <c r="H36" s="455">
        <f t="shared" si="11"/>
        <v>118755.08601943517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688673.3925842637</v>
      </c>
      <c r="E37" s="484">
        <f t="shared" si="8"/>
        <v>34496.990256410259</v>
      </c>
      <c r="F37" s="485">
        <f t="shared" si="9"/>
        <v>654176.40232785349</v>
      </c>
      <c r="G37" s="486">
        <f t="shared" si="10"/>
        <v>114637.56146161232</v>
      </c>
      <c r="H37" s="455">
        <f t="shared" si="11"/>
        <v>114637.56146161232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654176.40232785349</v>
      </c>
      <c r="E38" s="484">
        <f t="shared" si="8"/>
        <v>34496.990256410259</v>
      </c>
      <c r="F38" s="485">
        <f t="shared" si="9"/>
        <v>619679.41207144328</v>
      </c>
      <c r="G38" s="486">
        <f t="shared" si="10"/>
        <v>110520.03690378947</v>
      </c>
      <c r="H38" s="455">
        <f t="shared" si="11"/>
        <v>110520.03690378947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619679.41207144328</v>
      </c>
      <c r="E39" s="484">
        <f t="shared" si="8"/>
        <v>34496.990256410259</v>
      </c>
      <c r="F39" s="485">
        <f t="shared" si="9"/>
        <v>585182.42181503307</v>
      </c>
      <c r="G39" s="486">
        <f t="shared" si="10"/>
        <v>106402.51234596662</v>
      </c>
      <c r="H39" s="455">
        <f t="shared" si="11"/>
        <v>106402.51234596662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585182.42181503307</v>
      </c>
      <c r="E40" s="484">
        <f t="shared" si="8"/>
        <v>34496.990256410259</v>
      </c>
      <c r="F40" s="485">
        <f t="shared" si="9"/>
        <v>550685.43155862286</v>
      </c>
      <c r="G40" s="486">
        <f t="shared" si="10"/>
        <v>102284.9877881438</v>
      </c>
      <c r="H40" s="455">
        <f t="shared" si="11"/>
        <v>102284.9877881438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550685.43155862286</v>
      </c>
      <c r="E41" s="484">
        <f t="shared" si="8"/>
        <v>34496.990256410259</v>
      </c>
      <c r="F41" s="485">
        <f t="shared" si="9"/>
        <v>516188.4413022126</v>
      </c>
      <c r="G41" s="486">
        <f t="shared" si="10"/>
        <v>98167.463230320951</v>
      </c>
      <c r="H41" s="455">
        <f t="shared" si="11"/>
        <v>98167.463230320951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516188.4413022126</v>
      </c>
      <c r="E42" s="484">
        <f t="shared" si="8"/>
        <v>34496.990256410259</v>
      </c>
      <c r="F42" s="485">
        <f t="shared" si="9"/>
        <v>481691.45104580233</v>
      </c>
      <c r="G42" s="486">
        <f t="shared" si="10"/>
        <v>94049.938672498101</v>
      </c>
      <c r="H42" s="455">
        <f t="shared" si="11"/>
        <v>94049.938672498101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481691.45104580233</v>
      </c>
      <c r="E43" s="484">
        <f t="shared" si="8"/>
        <v>34496.990256410259</v>
      </c>
      <c r="F43" s="485">
        <f t="shared" si="9"/>
        <v>447194.46078939206</v>
      </c>
      <c r="G43" s="486">
        <f t="shared" si="10"/>
        <v>89932.414114675252</v>
      </c>
      <c r="H43" s="455">
        <f t="shared" si="11"/>
        <v>89932.414114675252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447194.46078939206</v>
      </c>
      <c r="E44" s="484">
        <f t="shared" si="8"/>
        <v>34496.990256410259</v>
      </c>
      <c r="F44" s="485">
        <f t="shared" si="9"/>
        <v>412697.4705329818</v>
      </c>
      <c r="G44" s="486">
        <f t="shared" si="10"/>
        <v>85814.889556852402</v>
      </c>
      <c r="H44" s="455">
        <f t="shared" si="11"/>
        <v>85814.889556852402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412697.4705329818</v>
      </c>
      <c r="E45" s="484">
        <f t="shared" si="8"/>
        <v>34496.990256410259</v>
      </c>
      <c r="F45" s="485">
        <f t="shared" si="9"/>
        <v>378200.48027657153</v>
      </c>
      <c r="G45" s="486">
        <f t="shared" si="10"/>
        <v>81697.364999029553</v>
      </c>
      <c r="H45" s="455">
        <f t="shared" si="11"/>
        <v>81697.364999029553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378200.48027657153</v>
      </c>
      <c r="E46" s="484">
        <f t="shared" si="8"/>
        <v>34496.990256410259</v>
      </c>
      <c r="F46" s="485">
        <f t="shared" si="9"/>
        <v>343703.49002016126</v>
      </c>
      <c r="G46" s="486">
        <f t="shared" si="10"/>
        <v>77579.840441206718</v>
      </c>
      <c r="H46" s="455">
        <f t="shared" si="11"/>
        <v>77579.840441206718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343703.49002016126</v>
      </c>
      <c r="E47" s="484">
        <f t="shared" si="8"/>
        <v>34496.990256410259</v>
      </c>
      <c r="F47" s="485">
        <f t="shared" si="9"/>
        <v>309206.499763751</v>
      </c>
      <c r="G47" s="486">
        <f t="shared" si="10"/>
        <v>73462.315883383853</v>
      </c>
      <c r="H47" s="455">
        <f t="shared" si="11"/>
        <v>73462.315883383853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309206.499763751</v>
      </c>
      <c r="E48" s="484">
        <f t="shared" si="8"/>
        <v>34496.990256410259</v>
      </c>
      <c r="F48" s="485">
        <f t="shared" si="9"/>
        <v>274709.50950734073</v>
      </c>
      <c r="G48" s="486">
        <f t="shared" si="10"/>
        <v>69344.791325561018</v>
      </c>
      <c r="H48" s="455">
        <f t="shared" si="11"/>
        <v>69344.791325561018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274709.50950734073</v>
      </c>
      <c r="E49" s="484">
        <f t="shared" si="8"/>
        <v>34496.990256410259</v>
      </c>
      <c r="F49" s="485">
        <f t="shared" si="9"/>
        <v>240212.51925093046</v>
      </c>
      <c r="G49" s="486">
        <f t="shared" si="10"/>
        <v>65227.266767738169</v>
      </c>
      <c r="H49" s="455">
        <f t="shared" si="11"/>
        <v>65227.266767738169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240212.51925093046</v>
      </c>
      <c r="E50" s="484">
        <f t="shared" si="8"/>
        <v>34496.990256410259</v>
      </c>
      <c r="F50" s="485">
        <f t="shared" si="9"/>
        <v>205715.52899452019</v>
      </c>
      <c r="G50" s="486">
        <f t="shared" si="10"/>
        <v>61109.742209915319</v>
      </c>
      <c r="H50" s="455">
        <f t="shared" si="11"/>
        <v>61109.742209915319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205715.52899452019</v>
      </c>
      <c r="E51" s="484">
        <f t="shared" si="8"/>
        <v>34496.990256410259</v>
      </c>
      <c r="F51" s="485">
        <f t="shared" si="9"/>
        <v>171218.53873810993</v>
      </c>
      <c r="G51" s="486">
        <f t="shared" si="10"/>
        <v>56992.21765209247</v>
      </c>
      <c r="H51" s="455">
        <f t="shared" si="11"/>
        <v>56992.21765209247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171218.53873810993</v>
      </c>
      <c r="E52" s="484">
        <f t="shared" si="8"/>
        <v>34496.990256410259</v>
      </c>
      <c r="F52" s="485">
        <f t="shared" si="9"/>
        <v>136721.54848169966</v>
      </c>
      <c r="G52" s="486">
        <f t="shared" si="10"/>
        <v>52874.69309426962</v>
      </c>
      <c r="H52" s="455">
        <f t="shared" si="11"/>
        <v>52874.69309426962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136721.54848169966</v>
      </c>
      <c r="E53" s="484">
        <f t="shared" si="8"/>
        <v>34496.990256410259</v>
      </c>
      <c r="F53" s="485">
        <f t="shared" si="9"/>
        <v>102224.55822528939</v>
      </c>
      <c r="G53" s="486">
        <f t="shared" si="10"/>
        <v>48757.168536446778</v>
      </c>
      <c r="H53" s="455">
        <f t="shared" si="11"/>
        <v>48757.168536446778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102224.55822528939</v>
      </c>
      <c r="E54" s="484">
        <f t="shared" si="8"/>
        <v>34496.990256410259</v>
      </c>
      <c r="F54" s="485">
        <f t="shared" si="9"/>
        <v>67727.567968879128</v>
      </c>
      <c r="G54" s="486">
        <f t="shared" si="10"/>
        <v>44639.643978623928</v>
      </c>
      <c r="H54" s="455">
        <f t="shared" si="11"/>
        <v>44639.643978623928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67727.567968879128</v>
      </c>
      <c r="E55" s="484">
        <f t="shared" si="8"/>
        <v>34496.990256410259</v>
      </c>
      <c r="F55" s="485">
        <f t="shared" si="9"/>
        <v>33230.577712468868</v>
      </c>
      <c r="G55" s="486">
        <f t="shared" si="10"/>
        <v>40522.119420801078</v>
      </c>
      <c r="H55" s="455">
        <f t="shared" si="11"/>
        <v>40522.119420801078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33230.577712468868</v>
      </c>
      <c r="E56" s="484">
        <f t="shared" si="8"/>
        <v>33230.577712468868</v>
      </c>
      <c r="F56" s="485">
        <f t="shared" si="9"/>
        <v>0</v>
      </c>
      <c r="G56" s="486">
        <f t="shared" si="10"/>
        <v>35213.761155208565</v>
      </c>
      <c r="H56" s="455">
        <f t="shared" si="11"/>
        <v>35213.761155208565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0</v>
      </c>
      <c r="E57" s="484">
        <f t="shared" si="8"/>
        <v>0</v>
      </c>
      <c r="F57" s="485">
        <f t="shared" si="9"/>
        <v>0</v>
      </c>
      <c r="G57" s="486">
        <f t="shared" si="10"/>
        <v>0</v>
      </c>
      <c r="H57" s="455">
        <f t="shared" si="11"/>
        <v>0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8"/>
        <v>0</v>
      </c>
      <c r="F58" s="485">
        <f t="shared" si="9"/>
        <v>0</v>
      </c>
      <c r="G58" s="486">
        <f t="shared" si="10"/>
        <v>0</v>
      </c>
      <c r="H58" s="455">
        <f t="shared" si="11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1345382.6200000003</v>
      </c>
      <c r="F73" s="347"/>
      <c r="G73" s="347">
        <f>SUM(G17:G72)</f>
        <v>4472825.6763458662</v>
      </c>
      <c r="H73" s="347">
        <f>SUM(H17:H72)</f>
        <v>4472825.6763458662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24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166475.36158990141</v>
      </c>
      <c r="N87" s="508">
        <f>IF(J92&lt;D11,0,VLOOKUP(J92,C17:O72,11))</f>
        <v>166475.36158990141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175007.65348742867</v>
      </c>
      <c r="N88" s="512">
        <f>IF(J92&lt;D11,0,VLOOKUP(J92,C99:P154,7))</f>
        <v>175007.65348742867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Duncan-Comanche Tap 69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8532.2918975272623</v>
      </c>
      <c r="N89" s="517">
        <f>+N88-N87</f>
        <v>8532.2918975272623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TP2015191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1345383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32814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15290</v>
      </c>
      <c r="F99" s="584">
        <v>1299649</v>
      </c>
      <c r="G99" s="608">
        <v>649824.5</v>
      </c>
      <c r="H99" s="587">
        <v>82050.088345518569</v>
      </c>
      <c r="I99" s="607">
        <v>82050.088345518569</v>
      </c>
      <c r="J99" s="478">
        <f>+I99-H99</f>
        <v>0</v>
      </c>
      <c r="K99" s="478"/>
      <c r="L99" s="477">
        <f>+H99</f>
        <v>82050.088345518569</v>
      </c>
      <c r="M99" s="477">
        <f t="shared" ref="M99" si="12">IF(L99&lt;&gt;0,+H99-L99,0)</f>
        <v>0</v>
      </c>
      <c r="N99" s="477">
        <f>+I99</f>
        <v>82050.088345518569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578">
        <v>1330093</v>
      </c>
      <c r="E100" s="579">
        <v>32814</v>
      </c>
      <c r="F100" s="578">
        <v>1297279</v>
      </c>
      <c r="G100" s="579">
        <v>1313686</v>
      </c>
      <c r="H100" s="602">
        <v>168273.45246575892</v>
      </c>
      <c r="I100" s="578">
        <v>168273.45246575892</v>
      </c>
      <c r="J100" s="478">
        <f t="shared" ref="J100:J130" si="15">+I100-H100</f>
        <v>0</v>
      </c>
      <c r="K100" s="478"/>
      <c r="L100" s="476">
        <f>H100</f>
        <v>168273.45246575892</v>
      </c>
      <c r="M100" s="348">
        <f>IF(L100&lt;&gt;0,+H100-L100,0)</f>
        <v>0</v>
      </c>
      <c r="N100" s="476">
        <f>I100</f>
        <v>168273.45246575892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2">
        <f>IF(D93="","-",+C100+1)</f>
        <v>2020</v>
      </c>
      <c r="D101" s="578">
        <v>1297279</v>
      </c>
      <c r="E101" s="579">
        <v>31288</v>
      </c>
      <c r="F101" s="578">
        <v>1265991</v>
      </c>
      <c r="G101" s="579">
        <v>1281635</v>
      </c>
      <c r="H101" s="602">
        <v>179056.99193510308</v>
      </c>
      <c r="I101" s="578">
        <v>179056.99193510308</v>
      </c>
      <c r="J101" s="478">
        <f t="shared" si="15"/>
        <v>0</v>
      </c>
      <c r="K101" s="478"/>
      <c r="L101" s="476">
        <f>H101</f>
        <v>179056.99193510308</v>
      </c>
      <c r="M101" s="348">
        <f>IF(L101&lt;&gt;0,+H101-L101,0)</f>
        <v>0</v>
      </c>
      <c r="N101" s="476">
        <f>I101</f>
        <v>179056.99193510308</v>
      </c>
      <c r="O101" s="478">
        <f t="shared" si="16"/>
        <v>0</v>
      </c>
      <c r="P101" s="478">
        <f t="shared" si="17"/>
        <v>0</v>
      </c>
    </row>
    <row r="102" spans="1:16" ht="12.5">
      <c r="B102" s="160" t="str">
        <f t="shared" si="18"/>
        <v/>
      </c>
      <c r="C102" s="472">
        <f>IF(D93="","-",+C101+1)</f>
        <v>2021</v>
      </c>
      <c r="D102" s="346">
        <f>IF(F101+SUM(E$99:E101)=D$92,F101,D$92-SUM(E$99:E101))</f>
        <v>1265991</v>
      </c>
      <c r="E102" s="484">
        <f t="shared" ref="E102:E154" si="19">IF(+J$96&lt;F101,J$96,D102)</f>
        <v>32814</v>
      </c>
      <c r="F102" s="485">
        <f t="shared" ref="F102:F154" si="20">+D102-E102</f>
        <v>1233177</v>
      </c>
      <c r="G102" s="485">
        <f t="shared" ref="G102:G154" si="21">+(F102+D102)/2</f>
        <v>1249584</v>
      </c>
      <c r="H102" s="613">
        <f t="shared" ref="H102:H154" si="22">+J$94*G102+E102</f>
        <v>175007.65348742867</v>
      </c>
      <c r="I102" s="614">
        <f t="shared" ref="I102:I154" si="23">+J$95*G102+E102</f>
        <v>175007.65348742867</v>
      </c>
      <c r="J102" s="478">
        <f t="shared" si="15"/>
        <v>0</v>
      </c>
      <c r="K102" s="478"/>
      <c r="L102" s="487"/>
      <c r="M102" s="478">
        <f t="shared" ref="M102:M130" si="24">IF(L102&lt;&gt;0,+H102-L102,0)</f>
        <v>0</v>
      </c>
      <c r="N102" s="487"/>
      <c r="O102" s="478">
        <f t="shared" si="16"/>
        <v>0</v>
      </c>
      <c r="P102" s="478">
        <f t="shared" si="17"/>
        <v>0</v>
      </c>
    </row>
    <row r="103" spans="1:16" ht="12.5">
      <c r="B103" s="160" t="str">
        <f t="shared" si="18"/>
        <v/>
      </c>
      <c r="C103" s="472">
        <f>IF(D93="","-",+C102+1)</f>
        <v>2022</v>
      </c>
      <c r="D103" s="346">
        <f>IF(F102+SUM(E$99:E102)=D$92,F102,D$92-SUM(E$99:E102))</f>
        <v>1233177</v>
      </c>
      <c r="E103" s="484">
        <f t="shared" si="19"/>
        <v>32814</v>
      </c>
      <c r="F103" s="485">
        <f t="shared" si="20"/>
        <v>1200363</v>
      </c>
      <c r="G103" s="485">
        <f t="shared" si="21"/>
        <v>1216770</v>
      </c>
      <c r="H103" s="613">
        <f t="shared" si="22"/>
        <v>171273.6567768942</v>
      </c>
      <c r="I103" s="614">
        <f t="shared" si="23"/>
        <v>171273.6567768942</v>
      </c>
      <c r="J103" s="478">
        <f t="shared" si="15"/>
        <v>0</v>
      </c>
      <c r="K103" s="478"/>
      <c r="L103" s="487"/>
      <c r="M103" s="478">
        <f t="shared" si="24"/>
        <v>0</v>
      </c>
      <c r="N103" s="487"/>
      <c r="O103" s="478">
        <f t="shared" si="16"/>
        <v>0</v>
      </c>
      <c r="P103" s="478">
        <f t="shared" si="17"/>
        <v>0</v>
      </c>
    </row>
    <row r="104" spans="1:16" ht="12.5">
      <c r="B104" s="160" t="str">
        <f t="shared" si="18"/>
        <v/>
      </c>
      <c r="C104" s="472">
        <f>IF(D93="","-",+C103+1)</f>
        <v>2023</v>
      </c>
      <c r="D104" s="346">
        <f>IF(F103+SUM(E$99:E103)=D$92,F103,D$92-SUM(E$99:E103))</f>
        <v>1200363</v>
      </c>
      <c r="E104" s="484">
        <f t="shared" si="19"/>
        <v>32814</v>
      </c>
      <c r="F104" s="485">
        <f t="shared" si="20"/>
        <v>1167549</v>
      </c>
      <c r="G104" s="485">
        <f t="shared" si="21"/>
        <v>1183956</v>
      </c>
      <c r="H104" s="613">
        <f t="shared" si="22"/>
        <v>167539.66006635976</v>
      </c>
      <c r="I104" s="614">
        <f t="shared" si="23"/>
        <v>167539.66006635976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 ht="12.5">
      <c r="B105" s="160" t="str">
        <f t="shared" si="18"/>
        <v/>
      </c>
      <c r="C105" s="472">
        <f>IF(D93="","-",+C104+1)</f>
        <v>2024</v>
      </c>
      <c r="D105" s="346">
        <f>IF(F104+SUM(E$99:E104)=D$92,F104,D$92-SUM(E$99:E104))</f>
        <v>1167549</v>
      </c>
      <c r="E105" s="484">
        <f t="shared" si="19"/>
        <v>32814</v>
      </c>
      <c r="F105" s="485">
        <f t="shared" si="20"/>
        <v>1134735</v>
      </c>
      <c r="G105" s="485">
        <f t="shared" si="21"/>
        <v>1151142</v>
      </c>
      <c r="H105" s="613">
        <f t="shared" si="22"/>
        <v>163805.66335582529</v>
      </c>
      <c r="I105" s="614">
        <f t="shared" si="23"/>
        <v>163805.66335582529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 ht="12.5">
      <c r="B106" s="160" t="str">
        <f t="shared" si="18"/>
        <v/>
      </c>
      <c r="C106" s="472">
        <f>IF(D93="","-",+C105+1)</f>
        <v>2025</v>
      </c>
      <c r="D106" s="346">
        <f>IF(F105+SUM(E$99:E105)=D$92,F105,D$92-SUM(E$99:E105))</f>
        <v>1134735</v>
      </c>
      <c r="E106" s="484">
        <f t="shared" si="19"/>
        <v>32814</v>
      </c>
      <c r="F106" s="485">
        <f t="shared" si="20"/>
        <v>1101921</v>
      </c>
      <c r="G106" s="485">
        <f t="shared" si="21"/>
        <v>1118328</v>
      </c>
      <c r="H106" s="613">
        <f t="shared" si="22"/>
        <v>160071.66664529085</v>
      </c>
      <c r="I106" s="614">
        <f t="shared" si="23"/>
        <v>160071.66664529085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 ht="12.5">
      <c r="B107" s="160" t="str">
        <f t="shared" si="18"/>
        <v/>
      </c>
      <c r="C107" s="472">
        <f>IF(D93="","-",+C106+1)</f>
        <v>2026</v>
      </c>
      <c r="D107" s="346">
        <f>IF(F106+SUM(E$99:E106)=D$92,F106,D$92-SUM(E$99:E106))</f>
        <v>1101921</v>
      </c>
      <c r="E107" s="484">
        <f t="shared" si="19"/>
        <v>32814</v>
      </c>
      <c r="F107" s="485">
        <f t="shared" si="20"/>
        <v>1069107</v>
      </c>
      <c r="G107" s="485">
        <f t="shared" si="21"/>
        <v>1085514</v>
      </c>
      <c r="H107" s="613">
        <f t="shared" si="22"/>
        <v>156337.66993475641</v>
      </c>
      <c r="I107" s="614">
        <f t="shared" si="23"/>
        <v>156337.66993475641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 ht="12.5">
      <c r="B108" s="160" t="str">
        <f t="shared" si="18"/>
        <v/>
      </c>
      <c r="C108" s="472">
        <f>IF(D93="","-",+C107+1)</f>
        <v>2027</v>
      </c>
      <c r="D108" s="346">
        <f>IF(F107+SUM(E$99:E107)=D$92,F107,D$92-SUM(E$99:E107))</f>
        <v>1069107</v>
      </c>
      <c r="E108" s="484">
        <f t="shared" si="19"/>
        <v>32814</v>
      </c>
      <c r="F108" s="485">
        <f t="shared" si="20"/>
        <v>1036293</v>
      </c>
      <c r="G108" s="485">
        <f t="shared" si="21"/>
        <v>1052700</v>
      </c>
      <c r="H108" s="613">
        <f t="shared" si="22"/>
        <v>152603.67322422194</v>
      </c>
      <c r="I108" s="614">
        <f t="shared" si="23"/>
        <v>152603.67322422194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 ht="12.5">
      <c r="B109" s="160" t="str">
        <f t="shared" si="18"/>
        <v/>
      </c>
      <c r="C109" s="472">
        <f>IF(D93="","-",+C108+1)</f>
        <v>2028</v>
      </c>
      <c r="D109" s="346">
        <f>IF(F108+SUM(E$99:E108)=D$92,F108,D$92-SUM(E$99:E108))</f>
        <v>1036293</v>
      </c>
      <c r="E109" s="484">
        <f t="shared" si="19"/>
        <v>32814</v>
      </c>
      <c r="F109" s="485">
        <f t="shared" si="20"/>
        <v>1003479</v>
      </c>
      <c r="G109" s="485">
        <f t="shared" si="21"/>
        <v>1019886</v>
      </c>
      <c r="H109" s="613">
        <f t="shared" si="22"/>
        <v>148869.67651368747</v>
      </c>
      <c r="I109" s="614">
        <f t="shared" si="23"/>
        <v>148869.67651368747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 ht="12.5">
      <c r="B110" s="160" t="str">
        <f t="shared" si="18"/>
        <v/>
      </c>
      <c r="C110" s="472">
        <f>IF(D93="","-",+C109+1)</f>
        <v>2029</v>
      </c>
      <c r="D110" s="346">
        <f>IF(F109+SUM(E$99:E109)=D$92,F109,D$92-SUM(E$99:E109))</f>
        <v>1003479</v>
      </c>
      <c r="E110" s="484">
        <f t="shared" si="19"/>
        <v>32814</v>
      </c>
      <c r="F110" s="485">
        <f t="shared" si="20"/>
        <v>970665</v>
      </c>
      <c r="G110" s="485">
        <f t="shared" si="21"/>
        <v>987072</v>
      </c>
      <c r="H110" s="613">
        <f t="shared" si="22"/>
        <v>145135.67980315303</v>
      </c>
      <c r="I110" s="614">
        <f t="shared" si="23"/>
        <v>145135.67980315303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 ht="12.5">
      <c r="B111" s="160" t="str">
        <f t="shared" si="18"/>
        <v/>
      </c>
      <c r="C111" s="472">
        <f>IF(D93="","-",+C110+1)</f>
        <v>2030</v>
      </c>
      <c r="D111" s="346">
        <f>IF(F110+SUM(E$99:E110)=D$92,F110,D$92-SUM(E$99:E110))</f>
        <v>970665</v>
      </c>
      <c r="E111" s="484">
        <f t="shared" si="19"/>
        <v>32814</v>
      </c>
      <c r="F111" s="485">
        <f t="shared" si="20"/>
        <v>937851</v>
      </c>
      <c r="G111" s="485">
        <f t="shared" si="21"/>
        <v>954258</v>
      </c>
      <c r="H111" s="613">
        <f t="shared" si="22"/>
        <v>141401.68309261859</v>
      </c>
      <c r="I111" s="614">
        <f t="shared" si="23"/>
        <v>141401.68309261859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 ht="12.5">
      <c r="B112" s="160" t="str">
        <f t="shared" si="18"/>
        <v/>
      </c>
      <c r="C112" s="472">
        <f>IF(D93="","-",+C111+1)</f>
        <v>2031</v>
      </c>
      <c r="D112" s="346">
        <f>IF(F111+SUM(E$99:E111)=D$92,F111,D$92-SUM(E$99:E111))</f>
        <v>937851</v>
      </c>
      <c r="E112" s="484">
        <f t="shared" si="19"/>
        <v>32814</v>
      </c>
      <c r="F112" s="485">
        <f t="shared" si="20"/>
        <v>905037</v>
      </c>
      <c r="G112" s="485">
        <f t="shared" si="21"/>
        <v>921444</v>
      </c>
      <c r="H112" s="613">
        <f t="shared" si="22"/>
        <v>137667.68638208415</v>
      </c>
      <c r="I112" s="614">
        <f t="shared" si="23"/>
        <v>137667.68638208415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 ht="12.5">
      <c r="B113" s="160" t="str">
        <f t="shared" si="18"/>
        <v/>
      </c>
      <c r="C113" s="472">
        <f>IF(D93="","-",+C112+1)</f>
        <v>2032</v>
      </c>
      <c r="D113" s="346">
        <f>IF(F112+SUM(E$99:E112)=D$92,F112,D$92-SUM(E$99:E112))</f>
        <v>905037</v>
      </c>
      <c r="E113" s="484">
        <f t="shared" si="19"/>
        <v>32814</v>
      </c>
      <c r="F113" s="485">
        <f t="shared" si="20"/>
        <v>872223</v>
      </c>
      <c r="G113" s="485">
        <f t="shared" si="21"/>
        <v>888630</v>
      </c>
      <c r="H113" s="613">
        <f t="shared" si="22"/>
        <v>133933.68967154968</v>
      </c>
      <c r="I113" s="614">
        <f t="shared" si="23"/>
        <v>133933.68967154968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 ht="12.5">
      <c r="B114" s="160" t="str">
        <f t="shared" si="18"/>
        <v/>
      </c>
      <c r="C114" s="472">
        <f>IF(D93="","-",+C113+1)</f>
        <v>2033</v>
      </c>
      <c r="D114" s="346">
        <f>IF(F113+SUM(E$99:E113)=D$92,F113,D$92-SUM(E$99:E113))</f>
        <v>872223</v>
      </c>
      <c r="E114" s="484">
        <f t="shared" si="19"/>
        <v>32814</v>
      </c>
      <c r="F114" s="485">
        <f t="shared" si="20"/>
        <v>839409</v>
      </c>
      <c r="G114" s="485">
        <f t="shared" si="21"/>
        <v>855816</v>
      </c>
      <c r="H114" s="613">
        <f t="shared" si="22"/>
        <v>130199.69296101523</v>
      </c>
      <c r="I114" s="614">
        <f t="shared" si="23"/>
        <v>130199.69296101523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 ht="12.5">
      <c r="B115" s="160" t="str">
        <f t="shared" si="18"/>
        <v/>
      </c>
      <c r="C115" s="472">
        <f>IF(D93="","-",+C114+1)</f>
        <v>2034</v>
      </c>
      <c r="D115" s="346">
        <f>IF(F114+SUM(E$99:E114)=D$92,F114,D$92-SUM(E$99:E114))</f>
        <v>839409</v>
      </c>
      <c r="E115" s="484">
        <f t="shared" si="19"/>
        <v>32814</v>
      </c>
      <c r="F115" s="485">
        <f t="shared" si="20"/>
        <v>806595</v>
      </c>
      <c r="G115" s="485">
        <f t="shared" si="21"/>
        <v>823002</v>
      </c>
      <c r="H115" s="613">
        <f t="shared" si="22"/>
        <v>126465.69625048077</v>
      </c>
      <c r="I115" s="614">
        <f t="shared" si="23"/>
        <v>126465.69625048077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 ht="12.5">
      <c r="B116" s="160" t="str">
        <f t="shared" si="18"/>
        <v/>
      </c>
      <c r="C116" s="472">
        <f>IF(D93="","-",+C115+1)</f>
        <v>2035</v>
      </c>
      <c r="D116" s="346">
        <f>IF(F115+SUM(E$99:E115)=D$92,F115,D$92-SUM(E$99:E115))</f>
        <v>806595</v>
      </c>
      <c r="E116" s="484">
        <f t="shared" si="19"/>
        <v>32814</v>
      </c>
      <c r="F116" s="485">
        <f t="shared" si="20"/>
        <v>773781</v>
      </c>
      <c r="G116" s="485">
        <f t="shared" si="21"/>
        <v>790188</v>
      </c>
      <c r="H116" s="613">
        <f t="shared" si="22"/>
        <v>122731.69953994632</v>
      </c>
      <c r="I116" s="614">
        <f t="shared" si="23"/>
        <v>122731.69953994632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 ht="12.5">
      <c r="B117" s="160" t="str">
        <f t="shared" si="18"/>
        <v/>
      </c>
      <c r="C117" s="472">
        <f>IF(D93="","-",+C116+1)</f>
        <v>2036</v>
      </c>
      <c r="D117" s="346">
        <f>IF(F116+SUM(E$99:E116)=D$92,F116,D$92-SUM(E$99:E116))</f>
        <v>773781</v>
      </c>
      <c r="E117" s="484">
        <f t="shared" si="19"/>
        <v>32814</v>
      </c>
      <c r="F117" s="485">
        <f t="shared" si="20"/>
        <v>740967</v>
      </c>
      <c r="G117" s="485">
        <f t="shared" si="21"/>
        <v>757374</v>
      </c>
      <c r="H117" s="613">
        <f t="shared" si="22"/>
        <v>118997.70282941186</v>
      </c>
      <c r="I117" s="614">
        <f t="shared" si="23"/>
        <v>118997.70282941186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 ht="12.5">
      <c r="B118" s="160" t="str">
        <f t="shared" si="18"/>
        <v/>
      </c>
      <c r="C118" s="472">
        <f>IF(D93="","-",+C117+1)</f>
        <v>2037</v>
      </c>
      <c r="D118" s="346">
        <f>IF(F117+SUM(E$99:E117)=D$92,F117,D$92-SUM(E$99:E117))</f>
        <v>740967</v>
      </c>
      <c r="E118" s="484">
        <f t="shared" si="19"/>
        <v>32814</v>
      </c>
      <c r="F118" s="485">
        <f t="shared" si="20"/>
        <v>708153</v>
      </c>
      <c r="G118" s="485">
        <f t="shared" si="21"/>
        <v>724560</v>
      </c>
      <c r="H118" s="613">
        <f t="shared" si="22"/>
        <v>115263.70611887741</v>
      </c>
      <c r="I118" s="614">
        <f t="shared" si="23"/>
        <v>115263.70611887741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 ht="12.5">
      <c r="B119" s="160" t="str">
        <f t="shared" si="18"/>
        <v/>
      </c>
      <c r="C119" s="472">
        <f>IF(D93="","-",+C118+1)</f>
        <v>2038</v>
      </c>
      <c r="D119" s="346">
        <f>IF(F118+SUM(E$99:E118)=D$92,F118,D$92-SUM(E$99:E118))</f>
        <v>708153</v>
      </c>
      <c r="E119" s="484">
        <f t="shared" si="19"/>
        <v>32814</v>
      </c>
      <c r="F119" s="485">
        <f t="shared" si="20"/>
        <v>675339</v>
      </c>
      <c r="G119" s="485">
        <f t="shared" si="21"/>
        <v>691746</v>
      </c>
      <c r="H119" s="613">
        <f t="shared" si="22"/>
        <v>111529.70940834297</v>
      </c>
      <c r="I119" s="614">
        <f t="shared" si="23"/>
        <v>111529.70940834297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 ht="12.5">
      <c r="B120" s="160" t="str">
        <f t="shared" si="18"/>
        <v/>
      </c>
      <c r="C120" s="472">
        <f>IF(D93="","-",+C119+1)</f>
        <v>2039</v>
      </c>
      <c r="D120" s="346">
        <f>IF(F119+SUM(E$99:E119)=D$92,F119,D$92-SUM(E$99:E119))</f>
        <v>675339</v>
      </c>
      <c r="E120" s="484">
        <f t="shared" si="19"/>
        <v>32814</v>
      </c>
      <c r="F120" s="485">
        <f t="shared" si="20"/>
        <v>642525</v>
      </c>
      <c r="G120" s="485">
        <f t="shared" si="21"/>
        <v>658932</v>
      </c>
      <c r="H120" s="613">
        <f t="shared" si="22"/>
        <v>107795.71269780851</v>
      </c>
      <c r="I120" s="614">
        <f t="shared" si="23"/>
        <v>107795.71269780851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 ht="12.5">
      <c r="B121" s="160" t="str">
        <f t="shared" si="18"/>
        <v/>
      </c>
      <c r="C121" s="472">
        <f>IF(D93="","-",+C120+1)</f>
        <v>2040</v>
      </c>
      <c r="D121" s="346">
        <f>IF(F120+SUM(E$99:E120)=D$92,F120,D$92-SUM(E$99:E120))</f>
        <v>642525</v>
      </c>
      <c r="E121" s="484">
        <f t="shared" si="19"/>
        <v>32814</v>
      </c>
      <c r="F121" s="485">
        <f t="shared" si="20"/>
        <v>609711</v>
      </c>
      <c r="G121" s="485">
        <f t="shared" si="21"/>
        <v>626118</v>
      </c>
      <c r="H121" s="613">
        <f t="shared" si="22"/>
        <v>104061.71598727406</v>
      </c>
      <c r="I121" s="614">
        <f t="shared" si="23"/>
        <v>104061.71598727406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 ht="12.5">
      <c r="B122" s="160" t="str">
        <f t="shared" si="18"/>
        <v/>
      </c>
      <c r="C122" s="472">
        <f>IF(D93="","-",+C121+1)</f>
        <v>2041</v>
      </c>
      <c r="D122" s="346">
        <f>IF(F121+SUM(E$99:E121)=D$92,F121,D$92-SUM(E$99:E121))</f>
        <v>609711</v>
      </c>
      <c r="E122" s="484">
        <f t="shared" si="19"/>
        <v>32814</v>
      </c>
      <c r="F122" s="485">
        <f t="shared" si="20"/>
        <v>576897</v>
      </c>
      <c r="G122" s="485">
        <f t="shared" si="21"/>
        <v>593304</v>
      </c>
      <c r="H122" s="613">
        <f t="shared" si="22"/>
        <v>100327.7192767396</v>
      </c>
      <c r="I122" s="614">
        <f t="shared" si="23"/>
        <v>100327.7192767396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 ht="12.5">
      <c r="B123" s="160" t="str">
        <f t="shared" si="18"/>
        <v/>
      </c>
      <c r="C123" s="472">
        <f>IF(D93="","-",+C122+1)</f>
        <v>2042</v>
      </c>
      <c r="D123" s="346">
        <f>IF(F122+SUM(E$99:E122)=D$92,F122,D$92-SUM(E$99:E122))</f>
        <v>576897</v>
      </c>
      <c r="E123" s="484">
        <f t="shared" si="19"/>
        <v>32814</v>
      </c>
      <c r="F123" s="485">
        <f t="shared" si="20"/>
        <v>544083</v>
      </c>
      <c r="G123" s="485">
        <f t="shared" si="21"/>
        <v>560490</v>
      </c>
      <c r="H123" s="613">
        <f t="shared" si="22"/>
        <v>96593.72256620515</v>
      </c>
      <c r="I123" s="614">
        <f t="shared" si="23"/>
        <v>96593.72256620515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 ht="12.5">
      <c r="B124" s="160" t="str">
        <f t="shared" si="18"/>
        <v/>
      </c>
      <c r="C124" s="472">
        <f>IF(D93="","-",+C123+1)</f>
        <v>2043</v>
      </c>
      <c r="D124" s="346">
        <f>IF(F123+SUM(E$99:E123)=D$92,F123,D$92-SUM(E$99:E123))</f>
        <v>544083</v>
      </c>
      <c r="E124" s="484">
        <f t="shared" si="19"/>
        <v>32814</v>
      </c>
      <c r="F124" s="485">
        <f t="shared" si="20"/>
        <v>511269</v>
      </c>
      <c r="G124" s="485">
        <f t="shared" si="21"/>
        <v>527676</v>
      </c>
      <c r="H124" s="613">
        <f t="shared" si="22"/>
        <v>92859.725855670695</v>
      </c>
      <c r="I124" s="614">
        <f t="shared" si="23"/>
        <v>92859.725855670695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 ht="12.5">
      <c r="B125" s="160" t="str">
        <f t="shared" si="18"/>
        <v/>
      </c>
      <c r="C125" s="472">
        <f>IF(D93="","-",+C124+1)</f>
        <v>2044</v>
      </c>
      <c r="D125" s="346">
        <f>IF(F124+SUM(E$99:E124)=D$92,F124,D$92-SUM(E$99:E124))</f>
        <v>511269</v>
      </c>
      <c r="E125" s="484">
        <f t="shared" si="19"/>
        <v>32814</v>
      </c>
      <c r="F125" s="485">
        <f t="shared" si="20"/>
        <v>478455</v>
      </c>
      <c r="G125" s="485">
        <f t="shared" si="21"/>
        <v>494862</v>
      </c>
      <c r="H125" s="613">
        <f t="shared" si="22"/>
        <v>89125.72914513624</v>
      </c>
      <c r="I125" s="614">
        <f t="shared" si="23"/>
        <v>89125.72914513624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 ht="12.5">
      <c r="B126" s="160" t="str">
        <f t="shared" si="18"/>
        <v/>
      </c>
      <c r="C126" s="472">
        <f>IF(D93="","-",+C125+1)</f>
        <v>2045</v>
      </c>
      <c r="D126" s="346">
        <f>IF(F125+SUM(E$99:E125)=D$92,F125,D$92-SUM(E$99:E125))</f>
        <v>478455</v>
      </c>
      <c r="E126" s="484">
        <f t="shared" si="19"/>
        <v>32814</v>
      </c>
      <c r="F126" s="485">
        <f t="shared" si="20"/>
        <v>445641</v>
      </c>
      <c r="G126" s="485">
        <f t="shared" si="21"/>
        <v>462048</v>
      </c>
      <c r="H126" s="613">
        <f t="shared" si="22"/>
        <v>85391.732434601785</v>
      </c>
      <c r="I126" s="614">
        <f t="shared" si="23"/>
        <v>85391.732434601785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 ht="12.5">
      <c r="B127" s="160" t="str">
        <f t="shared" si="18"/>
        <v/>
      </c>
      <c r="C127" s="472">
        <f>IF(D93="","-",+C126+1)</f>
        <v>2046</v>
      </c>
      <c r="D127" s="346">
        <f>IF(F126+SUM(E$99:E126)=D$92,F126,D$92-SUM(E$99:E126))</f>
        <v>445641</v>
      </c>
      <c r="E127" s="484">
        <f t="shared" si="19"/>
        <v>32814</v>
      </c>
      <c r="F127" s="485">
        <f t="shared" si="20"/>
        <v>412827</v>
      </c>
      <c r="G127" s="485">
        <f t="shared" si="21"/>
        <v>429234</v>
      </c>
      <c r="H127" s="613">
        <f t="shared" si="22"/>
        <v>81657.735724067345</v>
      </c>
      <c r="I127" s="614">
        <f t="shared" si="23"/>
        <v>81657.735724067345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 ht="12.5">
      <c r="B128" s="160" t="str">
        <f t="shared" si="18"/>
        <v/>
      </c>
      <c r="C128" s="472">
        <f>IF(D93="","-",+C127+1)</f>
        <v>2047</v>
      </c>
      <c r="D128" s="346">
        <f>IF(F127+SUM(E$99:E127)=D$92,F127,D$92-SUM(E$99:E127))</f>
        <v>412827</v>
      </c>
      <c r="E128" s="484">
        <f t="shared" si="19"/>
        <v>32814</v>
      </c>
      <c r="F128" s="485">
        <f t="shared" si="20"/>
        <v>380013</v>
      </c>
      <c r="G128" s="485">
        <f t="shared" si="21"/>
        <v>396420</v>
      </c>
      <c r="H128" s="613">
        <f t="shared" si="22"/>
        <v>77923.739013532875</v>
      </c>
      <c r="I128" s="614">
        <f t="shared" si="23"/>
        <v>77923.739013532875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 ht="12.5">
      <c r="B129" s="160" t="str">
        <f t="shared" si="18"/>
        <v/>
      </c>
      <c r="C129" s="472">
        <f>IF(D93="","-",+C128+1)</f>
        <v>2048</v>
      </c>
      <c r="D129" s="346">
        <f>IF(F128+SUM(E$99:E128)=D$92,F128,D$92-SUM(E$99:E128))</f>
        <v>380013</v>
      </c>
      <c r="E129" s="484">
        <f t="shared" si="19"/>
        <v>32814</v>
      </c>
      <c r="F129" s="485">
        <f t="shared" si="20"/>
        <v>347199</v>
      </c>
      <c r="G129" s="485">
        <f t="shared" si="21"/>
        <v>363606</v>
      </c>
      <c r="H129" s="613">
        <f t="shared" si="22"/>
        <v>74189.742302998435</v>
      </c>
      <c r="I129" s="614">
        <f t="shared" si="23"/>
        <v>74189.742302998435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 ht="12.5">
      <c r="B130" s="160" t="str">
        <f t="shared" si="18"/>
        <v/>
      </c>
      <c r="C130" s="472">
        <f>IF(D93="","-",+C129+1)</f>
        <v>2049</v>
      </c>
      <c r="D130" s="346">
        <f>IF(F129+SUM(E$99:E129)=D$92,F129,D$92-SUM(E$99:E129))</f>
        <v>347199</v>
      </c>
      <c r="E130" s="484">
        <f t="shared" si="19"/>
        <v>32814</v>
      </c>
      <c r="F130" s="485">
        <f t="shared" si="20"/>
        <v>314385</v>
      </c>
      <c r="G130" s="485">
        <f t="shared" si="21"/>
        <v>330792</v>
      </c>
      <c r="H130" s="613">
        <f t="shared" si="22"/>
        <v>70455.745592463965</v>
      </c>
      <c r="I130" s="614">
        <f t="shared" si="23"/>
        <v>70455.745592463965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 ht="12.5">
      <c r="B131" s="160" t="str">
        <f t="shared" si="18"/>
        <v/>
      </c>
      <c r="C131" s="472">
        <f>IF(D93="","-",+C130+1)</f>
        <v>2050</v>
      </c>
      <c r="D131" s="346">
        <f>IF(F130+SUM(E$99:E130)=D$92,F130,D$92-SUM(E$99:E130))</f>
        <v>314385</v>
      </c>
      <c r="E131" s="484">
        <f t="shared" si="19"/>
        <v>32814</v>
      </c>
      <c r="F131" s="485">
        <f t="shared" si="20"/>
        <v>281571</v>
      </c>
      <c r="G131" s="485">
        <f t="shared" si="21"/>
        <v>297978</v>
      </c>
      <c r="H131" s="613">
        <f t="shared" si="22"/>
        <v>66721.748881929525</v>
      </c>
      <c r="I131" s="614">
        <f t="shared" si="23"/>
        <v>66721.748881929525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8"/>
        <v/>
      </c>
      <c r="C132" s="472">
        <f>IF(D93="","-",+C131+1)</f>
        <v>2051</v>
      </c>
      <c r="D132" s="346">
        <f>IF(F131+SUM(E$99:E131)=D$92,F131,D$92-SUM(E$99:E131))</f>
        <v>281571</v>
      </c>
      <c r="E132" s="484">
        <f t="shared" si="19"/>
        <v>32814</v>
      </c>
      <c r="F132" s="485">
        <f t="shared" si="20"/>
        <v>248757</v>
      </c>
      <c r="G132" s="485">
        <f t="shared" si="21"/>
        <v>265164</v>
      </c>
      <c r="H132" s="613">
        <f t="shared" si="22"/>
        <v>62987.75217139507</v>
      </c>
      <c r="I132" s="614">
        <f t="shared" si="23"/>
        <v>62987.75217139507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8"/>
        <v/>
      </c>
      <c r="C133" s="472">
        <f>IF(D93="","-",+C132+1)</f>
        <v>2052</v>
      </c>
      <c r="D133" s="346">
        <f>IF(F132+SUM(E$99:E132)=D$92,F132,D$92-SUM(E$99:E132))</f>
        <v>248757</v>
      </c>
      <c r="E133" s="484">
        <f t="shared" si="19"/>
        <v>32814</v>
      </c>
      <c r="F133" s="485">
        <f t="shared" si="20"/>
        <v>215943</v>
      </c>
      <c r="G133" s="485">
        <f t="shared" si="21"/>
        <v>232350</v>
      </c>
      <c r="H133" s="613">
        <f t="shared" si="22"/>
        <v>59253.755460860615</v>
      </c>
      <c r="I133" s="614">
        <f t="shared" si="23"/>
        <v>59253.755460860615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8"/>
        <v/>
      </c>
      <c r="C134" s="472">
        <f>IF(D93="","-",+C133+1)</f>
        <v>2053</v>
      </c>
      <c r="D134" s="346">
        <f>IF(F133+SUM(E$99:E133)=D$92,F133,D$92-SUM(E$99:E133))</f>
        <v>215943</v>
      </c>
      <c r="E134" s="484">
        <f t="shared" si="19"/>
        <v>32814</v>
      </c>
      <c r="F134" s="485">
        <f t="shared" si="20"/>
        <v>183129</v>
      </c>
      <c r="G134" s="485">
        <f t="shared" si="21"/>
        <v>199536</v>
      </c>
      <c r="H134" s="613">
        <f t="shared" si="22"/>
        <v>55519.75875032616</v>
      </c>
      <c r="I134" s="614">
        <f t="shared" si="23"/>
        <v>55519.75875032616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8"/>
        <v/>
      </c>
      <c r="C135" s="472">
        <f>IF(D93="","-",+C134+1)</f>
        <v>2054</v>
      </c>
      <c r="D135" s="346">
        <f>IF(F134+SUM(E$99:E134)=D$92,F134,D$92-SUM(E$99:E134))</f>
        <v>183129</v>
      </c>
      <c r="E135" s="484">
        <f t="shared" si="19"/>
        <v>32814</v>
      </c>
      <c r="F135" s="485">
        <f t="shared" si="20"/>
        <v>150315</v>
      </c>
      <c r="G135" s="485">
        <f t="shared" si="21"/>
        <v>166722</v>
      </c>
      <c r="H135" s="613">
        <f t="shared" si="22"/>
        <v>51785.762039791705</v>
      </c>
      <c r="I135" s="614">
        <f t="shared" si="23"/>
        <v>51785.762039791705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8"/>
        <v/>
      </c>
      <c r="C136" s="472">
        <f>IF(D93="","-",+C135+1)</f>
        <v>2055</v>
      </c>
      <c r="D136" s="346">
        <f>IF(F135+SUM(E$99:E135)=D$92,F135,D$92-SUM(E$99:E135))</f>
        <v>150315</v>
      </c>
      <c r="E136" s="484">
        <f t="shared" si="19"/>
        <v>32814</v>
      </c>
      <c r="F136" s="485">
        <f t="shared" si="20"/>
        <v>117501</v>
      </c>
      <c r="G136" s="485">
        <f t="shared" si="21"/>
        <v>133908</v>
      </c>
      <c r="H136" s="613">
        <f t="shared" si="22"/>
        <v>48051.765329257258</v>
      </c>
      <c r="I136" s="614">
        <f t="shared" si="23"/>
        <v>48051.765329257258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8"/>
        <v/>
      </c>
      <c r="C137" s="472">
        <f>IF(D93="","-",+C136+1)</f>
        <v>2056</v>
      </c>
      <c r="D137" s="346">
        <f>IF(F136+SUM(E$99:E136)=D$92,F136,D$92-SUM(E$99:E136))</f>
        <v>117501</v>
      </c>
      <c r="E137" s="484">
        <f t="shared" si="19"/>
        <v>32814</v>
      </c>
      <c r="F137" s="485">
        <f t="shared" si="20"/>
        <v>84687</v>
      </c>
      <c r="G137" s="485">
        <f t="shared" si="21"/>
        <v>101094</v>
      </c>
      <c r="H137" s="613">
        <f t="shared" si="22"/>
        <v>44317.768618722803</v>
      </c>
      <c r="I137" s="614">
        <f t="shared" si="23"/>
        <v>44317.768618722803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8"/>
        <v/>
      </c>
      <c r="C138" s="472">
        <f>IF(D93="","-",+C137+1)</f>
        <v>2057</v>
      </c>
      <c r="D138" s="346">
        <f>IF(F137+SUM(E$99:E137)=D$92,F137,D$92-SUM(E$99:E137))</f>
        <v>84687</v>
      </c>
      <c r="E138" s="484">
        <f t="shared" si="19"/>
        <v>32814</v>
      </c>
      <c r="F138" s="485">
        <f t="shared" si="20"/>
        <v>51873</v>
      </c>
      <c r="G138" s="485">
        <f t="shared" si="21"/>
        <v>68280</v>
      </c>
      <c r="H138" s="613">
        <f t="shared" si="22"/>
        <v>40583.771908188348</v>
      </c>
      <c r="I138" s="614">
        <f t="shared" si="23"/>
        <v>40583.771908188348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8"/>
        <v/>
      </c>
      <c r="C139" s="472">
        <f>IF(D93="","-",+C138+1)</f>
        <v>2058</v>
      </c>
      <c r="D139" s="346">
        <f>IF(F138+SUM(E$99:E138)=D$92,F138,D$92-SUM(E$99:E138))</f>
        <v>51873</v>
      </c>
      <c r="E139" s="484">
        <f t="shared" si="19"/>
        <v>32814</v>
      </c>
      <c r="F139" s="485">
        <f t="shared" si="20"/>
        <v>19059</v>
      </c>
      <c r="G139" s="485">
        <f t="shared" si="21"/>
        <v>35466</v>
      </c>
      <c r="H139" s="613">
        <f t="shared" si="22"/>
        <v>36849.775197653893</v>
      </c>
      <c r="I139" s="614">
        <f t="shared" si="23"/>
        <v>36849.775197653893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8"/>
        <v/>
      </c>
      <c r="C140" s="472">
        <f>IF(D93="","-",+C139+1)</f>
        <v>2059</v>
      </c>
      <c r="D140" s="346">
        <f>IF(F139+SUM(E$99:E139)=D$92,F139,D$92-SUM(E$99:E139))</f>
        <v>19059</v>
      </c>
      <c r="E140" s="484">
        <f t="shared" si="19"/>
        <v>19059</v>
      </c>
      <c r="F140" s="485">
        <f t="shared" si="20"/>
        <v>0</v>
      </c>
      <c r="G140" s="485">
        <f t="shared" si="21"/>
        <v>9529.5</v>
      </c>
      <c r="H140" s="613">
        <f t="shared" si="22"/>
        <v>20143.388421193333</v>
      </c>
      <c r="I140" s="614">
        <f t="shared" si="23"/>
        <v>20143.388421193333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8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613">
        <f t="shared" si="22"/>
        <v>0</v>
      </c>
      <c r="I141" s="614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8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613">
        <f t="shared" si="22"/>
        <v>0</v>
      </c>
      <c r="I142" s="614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8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613">
        <f t="shared" si="22"/>
        <v>0</v>
      </c>
      <c r="I143" s="614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8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613">
        <f t="shared" si="22"/>
        <v>0</v>
      </c>
      <c r="I144" s="614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8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613">
        <f t="shared" si="22"/>
        <v>0</v>
      </c>
      <c r="I145" s="614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8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613">
        <f t="shared" si="22"/>
        <v>0</v>
      </c>
      <c r="I146" s="614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8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613">
        <f t="shared" si="22"/>
        <v>0</v>
      </c>
      <c r="I147" s="614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8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613">
        <f t="shared" si="22"/>
        <v>0</v>
      </c>
      <c r="I148" s="614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8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613">
        <f t="shared" si="22"/>
        <v>0</v>
      </c>
      <c r="I149" s="614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8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613">
        <f t="shared" si="22"/>
        <v>0</v>
      </c>
      <c r="I150" s="614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8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613">
        <f t="shared" si="22"/>
        <v>0</v>
      </c>
      <c r="I151" s="614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8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613">
        <f t="shared" si="22"/>
        <v>0</v>
      </c>
      <c r="I152" s="614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8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613">
        <f t="shared" si="22"/>
        <v>0</v>
      </c>
      <c r="I153" s="614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5">
        <f t="shared" si="22"/>
        <v>0</v>
      </c>
      <c r="I154" s="616">
        <f t="shared" si="23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1345383</v>
      </c>
      <c r="F155" s="347"/>
      <c r="G155" s="347"/>
      <c r="H155" s="347">
        <f>SUM(H99:H154)</f>
        <v>4474815.0661841426</v>
      </c>
      <c r="I155" s="347">
        <f>SUM(I99:I154)</f>
        <v>4474815.0661841426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2"/>
  <sheetViews>
    <sheetView zoomScale="85" zoomScaleNormal="8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25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36192.287124459006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36192.287124459006</v>
      </c>
      <c r="O6" s="232"/>
      <c r="P6" s="232"/>
    </row>
    <row r="7" spans="1:16" ht="13.5" thickBot="1">
      <c r="C7" s="431" t="s">
        <v>46</v>
      </c>
      <c r="D7" s="599" t="s">
        <v>320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321</v>
      </c>
      <c r="E9" s="623" t="s">
        <v>342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288859.60000000003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7406.6564102564107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2018</v>
      </c>
      <c r="D17" s="584">
        <v>0</v>
      </c>
      <c r="E17" s="608">
        <v>11600</v>
      </c>
      <c r="F17" s="584">
        <v>1032400</v>
      </c>
      <c r="G17" s="608">
        <v>81460.13871045578</v>
      </c>
      <c r="H17" s="587">
        <v>81460.13871045578</v>
      </c>
      <c r="I17" s="475">
        <f>H17-G17</f>
        <v>0</v>
      </c>
      <c r="J17" s="475"/>
      <c r="K17" s="554">
        <f>+G17</f>
        <v>81460.13871045578</v>
      </c>
      <c r="L17" s="477">
        <f t="shared" ref="L17:L72" si="0">IF(K17&lt;&gt;0,+G17-K17,0)</f>
        <v>0</v>
      </c>
      <c r="M17" s="554">
        <f>+H17</f>
        <v>81460.13871045578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2019</v>
      </c>
      <c r="D18" s="584">
        <v>0</v>
      </c>
      <c r="E18" s="585">
        <v>11600</v>
      </c>
      <c r="F18" s="584">
        <v>1032400</v>
      </c>
      <c r="G18" s="585">
        <v>73419.565193351213</v>
      </c>
      <c r="H18" s="587">
        <v>73419.565193351213</v>
      </c>
      <c r="I18" s="475">
        <f>H18-G18</f>
        <v>0</v>
      </c>
      <c r="J18" s="475"/>
      <c r="K18" s="478">
        <f>+G18</f>
        <v>73419.565193351213</v>
      </c>
      <c r="L18" s="478">
        <f t="shared" si="0"/>
        <v>0</v>
      </c>
      <c r="M18" s="478">
        <f>+H18</f>
        <v>73419.565193351213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2020</v>
      </c>
      <c r="D19" s="584">
        <v>267280</v>
      </c>
      <c r="E19" s="585">
        <v>7192.3809523809523</v>
      </c>
      <c r="F19" s="584">
        <v>260087.61904761905</v>
      </c>
      <c r="G19" s="585">
        <v>35671.491974766584</v>
      </c>
      <c r="H19" s="587">
        <v>35671.491974766584</v>
      </c>
      <c r="I19" s="475">
        <f t="shared" ref="I19:I71" si="3">H19-G19</f>
        <v>0</v>
      </c>
      <c r="J19" s="475"/>
      <c r="K19" s="478">
        <f>+G19</f>
        <v>35671.491974766584</v>
      </c>
      <c r="L19" s="478">
        <f t="shared" ref="L19" si="4">IF(K19&lt;&gt;0,+G19-K19,0)</f>
        <v>0</v>
      </c>
      <c r="M19" s="478">
        <f>+H19</f>
        <v>35671.491974766584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2021</v>
      </c>
      <c r="D20" s="584">
        <v>258467.61904761905</v>
      </c>
      <c r="E20" s="585">
        <v>6717.6744186046508</v>
      </c>
      <c r="F20" s="584">
        <v>251749.94462901441</v>
      </c>
      <c r="G20" s="585">
        <v>34223.924690152948</v>
      </c>
      <c r="H20" s="587">
        <v>34223.924690152948</v>
      </c>
      <c r="I20" s="475">
        <f t="shared" si="3"/>
        <v>0</v>
      </c>
      <c r="J20" s="475"/>
      <c r="K20" s="478">
        <f>+G20</f>
        <v>34223.924690152948</v>
      </c>
      <c r="L20" s="478">
        <f t="shared" ref="L20" si="6">IF(K20&lt;&gt;0,+G20-K20,0)</f>
        <v>0</v>
      </c>
      <c r="M20" s="478">
        <f>+H20</f>
        <v>34223.924690152948</v>
      </c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2022</v>
      </c>
      <c r="D21" s="584">
        <v>251749.94462901441</v>
      </c>
      <c r="E21" s="585">
        <v>6877.6190476190477</v>
      </c>
      <c r="F21" s="584">
        <v>244872.32558139536</v>
      </c>
      <c r="G21" s="585">
        <v>33648.35187112401</v>
      </c>
      <c r="H21" s="587">
        <v>33648.35187112401</v>
      </c>
      <c r="I21" s="475">
        <f t="shared" si="3"/>
        <v>0</v>
      </c>
      <c r="J21" s="475"/>
      <c r="K21" s="478">
        <f>+G21</f>
        <v>33648.35187112401</v>
      </c>
      <c r="L21" s="478">
        <f t="shared" ref="L21" si="7">IF(K21&lt;&gt;0,+G21-K21,0)</f>
        <v>0</v>
      </c>
      <c r="M21" s="478">
        <f>+H21</f>
        <v>33648.35187112401</v>
      </c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>IU</v>
      </c>
      <c r="C22" s="472">
        <f>IF(D11="","-",+C21+1)</f>
        <v>2023</v>
      </c>
      <c r="D22" s="483">
        <f>IF(F21+SUM(E$17:E21)=D$10,F21,D$10-SUM(E$17:E21))</f>
        <v>244871.92558139539</v>
      </c>
      <c r="E22" s="484">
        <f t="shared" ref="E22:E71" si="8">IF(+I$14&lt;F21,I$14,D22)</f>
        <v>7406.6564102564107</v>
      </c>
      <c r="F22" s="485">
        <f t="shared" ref="F22:F71" si="9">+D22-E22</f>
        <v>237465.26917113899</v>
      </c>
      <c r="G22" s="486">
        <f t="shared" ref="G22:G71" si="10">(D22+F22)/2*I$12+E22</f>
        <v>36192.287124459006</v>
      </c>
      <c r="H22" s="455">
        <f t="shared" ref="H22:H71" si="11">+(D22+F22)/2*I$13+E22</f>
        <v>36192.287124459006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237465.26917113899</v>
      </c>
      <c r="E23" s="484">
        <f t="shared" si="8"/>
        <v>7406.6564102564107</v>
      </c>
      <c r="F23" s="485">
        <f t="shared" si="9"/>
        <v>230058.61276088259</v>
      </c>
      <c r="G23" s="486">
        <f t="shared" si="10"/>
        <v>35308.23638745537</v>
      </c>
      <c r="H23" s="455">
        <f t="shared" si="11"/>
        <v>35308.23638745537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230058.61276088259</v>
      </c>
      <c r="E24" s="484">
        <f t="shared" si="8"/>
        <v>7406.6564102564107</v>
      </c>
      <c r="F24" s="485">
        <f t="shared" si="9"/>
        <v>222651.95635062619</v>
      </c>
      <c r="G24" s="486">
        <f t="shared" si="10"/>
        <v>34424.185650451735</v>
      </c>
      <c r="H24" s="455">
        <f t="shared" si="11"/>
        <v>34424.185650451735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222651.95635062619</v>
      </c>
      <c r="E25" s="484">
        <f t="shared" si="8"/>
        <v>7406.6564102564107</v>
      </c>
      <c r="F25" s="485">
        <f t="shared" si="9"/>
        <v>215245.29994036979</v>
      </c>
      <c r="G25" s="486">
        <f t="shared" si="10"/>
        <v>33540.134913448092</v>
      </c>
      <c r="H25" s="455">
        <f t="shared" si="11"/>
        <v>33540.134913448092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215245.29994036979</v>
      </c>
      <c r="E26" s="484">
        <f t="shared" si="8"/>
        <v>7406.6564102564107</v>
      </c>
      <c r="F26" s="485">
        <f t="shared" si="9"/>
        <v>207838.64353011339</v>
      </c>
      <c r="G26" s="486">
        <f t="shared" si="10"/>
        <v>32656.084176444459</v>
      </c>
      <c r="H26" s="455">
        <f t="shared" si="11"/>
        <v>32656.084176444459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207838.64353011339</v>
      </c>
      <c r="E27" s="484">
        <f t="shared" si="8"/>
        <v>7406.6564102564107</v>
      </c>
      <c r="F27" s="485">
        <f t="shared" si="9"/>
        <v>200431.98711985699</v>
      </c>
      <c r="G27" s="486">
        <f t="shared" si="10"/>
        <v>31772.033439440824</v>
      </c>
      <c r="H27" s="455">
        <f t="shared" si="11"/>
        <v>31772.033439440824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200431.98711985699</v>
      </c>
      <c r="E28" s="484">
        <f t="shared" si="8"/>
        <v>7406.6564102564107</v>
      </c>
      <c r="F28" s="485">
        <f t="shared" si="9"/>
        <v>193025.33070960059</v>
      </c>
      <c r="G28" s="486">
        <f t="shared" si="10"/>
        <v>30887.982702437188</v>
      </c>
      <c r="H28" s="455">
        <f t="shared" si="11"/>
        <v>30887.982702437188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193025.33070960059</v>
      </c>
      <c r="E29" s="484">
        <f t="shared" si="8"/>
        <v>7406.6564102564107</v>
      </c>
      <c r="F29" s="485">
        <f t="shared" si="9"/>
        <v>185618.67429934419</v>
      </c>
      <c r="G29" s="486">
        <f t="shared" si="10"/>
        <v>30003.931965433552</v>
      </c>
      <c r="H29" s="455">
        <f t="shared" si="11"/>
        <v>30003.931965433552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185618.67429934419</v>
      </c>
      <c r="E30" s="484">
        <f t="shared" si="8"/>
        <v>7406.6564102564107</v>
      </c>
      <c r="F30" s="485">
        <f t="shared" si="9"/>
        <v>178212.01788908779</v>
      </c>
      <c r="G30" s="486">
        <f t="shared" si="10"/>
        <v>29119.881228429917</v>
      </c>
      <c r="H30" s="455">
        <f t="shared" si="11"/>
        <v>29119.881228429917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178212.01788908779</v>
      </c>
      <c r="E31" s="484">
        <f t="shared" si="8"/>
        <v>7406.6564102564107</v>
      </c>
      <c r="F31" s="485">
        <f t="shared" si="9"/>
        <v>170805.36147883139</v>
      </c>
      <c r="G31" s="486">
        <f t="shared" si="10"/>
        <v>28235.830491426281</v>
      </c>
      <c r="H31" s="455">
        <f t="shared" si="11"/>
        <v>28235.830491426281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170805.36147883139</v>
      </c>
      <c r="E32" s="484">
        <f t="shared" si="8"/>
        <v>7406.6564102564107</v>
      </c>
      <c r="F32" s="485">
        <f t="shared" si="9"/>
        <v>163398.70506857499</v>
      </c>
      <c r="G32" s="486">
        <f t="shared" si="10"/>
        <v>27351.779754422645</v>
      </c>
      <c r="H32" s="455">
        <f t="shared" si="11"/>
        <v>27351.779754422645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163398.70506857499</v>
      </c>
      <c r="E33" s="484">
        <f t="shared" si="8"/>
        <v>7406.6564102564107</v>
      </c>
      <c r="F33" s="485">
        <f t="shared" si="9"/>
        <v>155992.04865831858</v>
      </c>
      <c r="G33" s="486">
        <f t="shared" si="10"/>
        <v>26467.729017419009</v>
      </c>
      <c r="H33" s="455">
        <f t="shared" si="11"/>
        <v>26467.729017419009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155992.04865831858</v>
      </c>
      <c r="E34" s="484">
        <f t="shared" si="8"/>
        <v>7406.6564102564107</v>
      </c>
      <c r="F34" s="485">
        <f t="shared" si="9"/>
        <v>148585.39224806218</v>
      </c>
      <c r="G34" s="486">
        <f t="shared" si="10"/>
        <v>25583.678280415374</v>
      </c>
      <c r="H34" s="455">
        <f t="shared" si="11"/>
        <v>25583.678280415374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148585.39224806218</v>
      </c>
      <c r="E35" s="484">
        <f t="shared" si="8"/>
        <v>7406.6564102564107</v>
      </c>
      <c r="F35" s="485">
        <f t="shared" si="9"/>
        <v>141178.73583780578</v>
      </c>
      <c r="G35" s="486">
        <f t="shared" si="10"/>
        <v>24699.627543411738</v>
      </c>
      <c r="H35" s="455">
        <f t="shared" si="11"/>
        <v>24699.627543411738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141178.73583780578</v>
      </c>
      <c r="E36" s="484">
        <f t="shared" si="8"/>
        <v>7406.6564102564107</v>
      </c>
      <c r="F36" s="485">
        <f t="shared" si="9"/>
        <v>133772.07942754938</v>
      </c>
      <c r="G36" s="486">
        <f t="shared" si="10"/>
        <v>23815.576806408102</v>
      </c>
      <c r="H36" s="455">
        <f t="shared" si="11"/>
        <v>23815.576806408102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133772.07942754938</v>
      </c>
      <c r="E37" s="484">
        <f t="shared" si="8"/>
        <v>7406.6564102564107</v>
      </c>
      <c r="F37" s="485">
        <f t="shared" si="9"/>
        <v>126365.42301729297</v>
      </c>
      <c r="G37" s="486">
        <f t="shared" si="10"/>
        <v>22931.526069404463</v>
      </c>
      <c r="H37" s="455">
        <f t="shared" si="11"/>
        <v>22931.526069404463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126365.42301729297</v>
      </c>
      <c r="E38" s="484">
        <f t="shared" si="8"/>
        <v>7406.6564102564107</v>
      </c>
      <c r="F38" s="485">
        <f t="shared" si="9"/>
        <v>118958.76660703655</v>
      </c>
      <c r="G38" s="486">
        <f t="shared" si="10"/>
        <v>22047.475332400823</v>
      </c>
      <c r="H38" s="455">
        <f t="shared" si="11"/>
        <v>22047.475332400823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118958.76660703655</v>
      </c>
      <c r="E39" s="484">
        <f t="shared" si="8"/>
        <v>7406.6564102564107</v>
      </c>
      <c r="F39" s="485">
        <f t="shared" si="9"/>
        <v>111552.11019678014</v>
      </c>
      <c r="G39" s="486">
        <f t="shared" si="10"/>
        <v>21163.424595397188</v>
      </c>
      <c r="H39" s="455">
        <f t="shared" si="11"/>
        <v>21163.424595397188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111552.11019678014</v>
      </c>
      <c r="E40" s="484">
        <f t="shared" si="8"/>
        <v>7406.6564102564107</v>
      </c>
      <c r="F40" s="485">
        <f t="shared" si="9"/>
        <v>104145.45378652372</v>
      </c>
      <c r="G40" s="486">
        <f t="shared" si="10"/>
        <v>20279.373858393548</v>
      </c>
      <c r="H40" s="455">
        <f t="shared" si="11"/>
        <v>20279.373858393548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104145.45378652372</v>
      </c>
      <c r="E41" s="484">
        <f t="shared" si="8"/>
        <v>7406.6564102564107</v>
      </c>
      <c r="F41" s="485">
        <f t="shared" si="9"/>
        <v>96738.797376267306</v>
      </c>
      <c r="G41" s="486">
        <f t="shared" si="10"/>
        <v>19395.323121389913</v>
      </c>
      <c r="H41" s="455">
        <f t="shared" si="11"/>
        <v>19395.323121389913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96738.797376267306</v>
      </c>
      <c r="E42" s="484">
        <f t="shared" si="8"/>
        <v>7406.6564102564107</v>
      </c>
      <c r="F42" s="485">
        <f t="shared" si="9"/>
        <v>89332.140966010891</v>
      </c>
      <c r="G42" s="486">
        <f t="shared" si="10"/>
        <v>18511.272384386273</v>
      </c>
      <c r="H42" s="455">
        <f t="shared" si="11"/>
        <v>18511.272384386273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89332.140966010891</v>
      </c>
      <c r="E43" s="484">
        <f t="shared" si="8"/>
        <v>7406.6564102564107</v>
      </c>
      <c r="F43" s="485">
        <f t="shared" si="9"/>
        <v>81925.484555754476</v>
      </c>
      <c r="G43" s="486">
        <f t="shared" si="10"/>
        <v>17627.221647382637</v>
      </c>
      <c r="H43" s="455">
        <f t="shared" si="11"/>
        <v>17627.221647382637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81925.484555754476</v>
      </c>
      <c r="E44" s="484">
        <f t="shared" si="8"/>
        <v>7406.6564102564107</v>
      </c>
      <c r="F44" s="485">
        <f t="shared" si="9"/>
        <v>74518.828145498061</v>
      </c>
      <c r="G44" s="486">
        <f t="shared" si="10"/>
        <v>16743.170910378998</v>
      </c>
      <c r="H44" s="455">
        <f t="shared" si="11"/>
        <v>16743.170910378998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74518.828145498061</v>
      </c>
      <c r="E45" s="484">
        <f t="shared" si="8"/>
        <v>7406.6564102564107</v>
      </c>
      <c r="F45" s="485">
        <f t="shared" si="9"/>
        <v>67112.171735241645</v>
      </c>
      <c r="G45" s="486">
        <f t="shared" si="10"/>
        <v>15859.120173375362</v>
      </c>
      <c r="H45" s="455">
        <f t="shared" si="11"/>
        <v>15859.120173375362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67112.171735241645</v>
      </c>
      <c r="E46" s="484">
        <f t="shared" si="8"/>
        <v>7406.6564102564107</v>
      </c>
      <c r="F46" s="485">
        <f t="shared" si="9"/>
        <v>59705.515324985237</v>
      </c>
      <c r="G46" s="486">
        <f t="shared" si="10"/>
        <v>14975.069436371723</v>
      </c>
      <c r="H46" s="455">
        <f t="shared" si="11"/>
        <v>14975.069436371723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59705.515324985237</v>
      </c>
      <c r="E47" s="484">
        <f t="shared" si="8"/>
        <v>7406.6564102564107</v>
      </c>
      <c r="F47" s="485">
        <f t="shared" si="9"/>
        <v>52298.858914728829</v>
      </c>
      <c r="G47" s="486">
        <f t="shared" si="10"/>
        <v>14091.018699368087</v>
      </c>
      <c r="H47" s="455">
        <f t="shared" si="11"/>
        <v>14091.018699368087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52298.858914728829</v>
      </c>
      <c r="E48" s="484">
        <f t="shared" si="8"/>
        <v>7406.6564102564107</v>
      </c>
      <c r="F48" s="485">
        <f t="shared" si="9"/>
        <v>44892.202504472421</v>
      </c>
      <c r="G48" s="486">
        <f t="shared" si="10"/>
        <v>13206.967962364452</v>
      </c>
      <c r="H48" s="455">
        <f t="shared" si="11"/>
        <v>13206.967962364452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44892.202504472421</v>
      </c>
      <c r="E49" s="484">
        <f t="shared" si="8"/>
        <v>7406.6564102564107</v>
      </c>
      <c r="F49" s="485">
        <f t="shared" si="9"/>
        <v>37485.546094216013</v>
      </c>
      <c r="G49" s="486">
        <f t="shared" si="10"/>
        <v>12322.917225360812</v>
      </c>
      <c r="H49" s="455">
        <f t="shared" si="11"/>
        <v>12322.917225360812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37485.546094216013</v>
      </c>
      <c r="E50" s="484">
        <f t="shared" si="8"/>
        <v>7406.6564102564107</v>
      </c>
      <c r="F50" s="485">
        <f t="shared" si="9"/>
        <v>30078.889683959602</v>
      </c>
      <c r="G50" s="486">
        <f t="shared" si="10"/>
        <v>11438.866488357176</v>
      </c>
      <c r="H50" s="455">
        <f t="shared" si="11"/>
        <v>11438.866488357176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30078.889683959602</v>
      </c>
      <c r="E51" s="484">
        <f t="shared" si="8"/>
        <v>7406.6564102564107</v>
      </c>
      <c r="F51" s="485">
        <f t="shared" si="9"/>
        <v>22672.23327370319</v>
      </c>
      <c r="G51" s="486">
        <f t="shared" si="10"/>
        <v>10554.815751353539</v>
      </c>
      <c r="H51" s="455">
        <f t="shared" si="11"/>
        <v>10554.815751353539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22672.23327370319</v>
      </c>
      <c r="E52" s="484">
        <f t="shared" si="8"/>
        <v>7406.6564102564107</v>
      </c>
      <c r="F52" s="485">
        <f t="shared" si="9"/>
        <v>15265.576863446779</v>
      </c>
      <c r="G52" s="486">
        <f t="shared" si="10"/>
        <v>9670.7650143499013</v>
      </c>
      <c r="H52" s="455">
        <f t="shared" si="11"/>
        <v>9670.7650143499013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15265.576863446779</v>
      </c>
      <c r="E53" s="484">
        <f t="shared" si="8"/>
        <v>7406.6564102564107</v>
      </c>
      <c r="F53" s="485">
        <f t="shared" si="9"/>
        <v>7858.9204531903679</v>
      </c>
      <c r="G53" s="486">
        <f t="shared" si="10"/>
        <v>8786.7142773462638</v>
      </c>
      <c r="H53" s="455">
        <f t="shared" si="11"/>
        <v>8786.7142773462638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7858.9204531903679</v>
      </c>
      <c r="E54" s="484">
        <f t="shared" si="8"/>
        <v>7406.6564102564107</v>
      </c>
      <c r="F54" s="485">
        <f t="shared" si="9"/>
        <v>452.26404293395717</v>
      </c>
      <c r="G54" s="486">
        <f t="shared" si="10"/>
        <v>7902.6635403426262</v>
      </c>
      <c r="H54" s="455">
        <f t="shared" si="11"/>
        <v>7902.6635403426262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452.26404293395717</v>
      </c>
      <c r="E55" s="484">
        <f t="shared" si="8"/>
        <v>452.26404293395717</v>
      </c>
      <c r="F55" s="485">
        <f t="shared" si="9"/>
        <v>0</v>
      </c>
      <c r="G55" s="486">
        <f t="shared" si="10"/>
        <v>479.25492372615582</v>
      </c>
      <c r="H55" s="455">
        <f t="shared" si="11"/>
        <v>479.25492372615582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0</v>
      </c>
      <c r="E56" s="484">
        <f t="shared" si="8"/>
        <v>0</v>
      </c>
      <c r="F56" s="485">
        <f t="shared" si="9"/>
        <v>0</v>
      </c>
      <c r="G56" s="486">
        <f t="shared" si="10"/>
        <v>0</v>
      </c>
      <c r="H56" s="455">
        <f t="shared" si="11"/>
        <v>0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0</v>
      </c>
      <c r="E57" s="484">
        <f t="shared" si="8"/>
        <v>0</v>
      </c>
      <c r="F57" s="485">
        <f t="shared" si="9"/>
        <v>0</v>
      </c>
      <c r="G57" s="486">
        <f t="shared" si="10"/>
        <v>0</v>
      </c>
      <c r="H57" s="455">
        <f t="shared" si="11"/>
        <v>0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8"/>
        <v>0</v>
      </c>
      <c r="F58" s="485">
        <f t="shared" si="9"/>
        <v>0</v>
      </c>
      <c r="G58" s="486">
        <f t="shared" si="10"/>
        <v>0</v>
      </c>
      <c r="H58" s="455">
        <f t="shared" si="11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8"/>
        <v>0</v>
      </c>
      <c r="F59" s="485">
        <f t="shared" si="9"/>
        <v>0</v>
      </c>
      <c r="G59" s="486">
        <f t="shared" si="10"/>
        <v>0</v>
      </c>
      <c r="H59" s="455">
        <f t="shared" si="11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288859.59999999998</v>
      </c>
      <c r="F73" s="347"/>
      <c r="G73" s="347">
        <f>SUM(G17:G72)</f>
        <v>986469.41333280387</v>
      </c>
      <c r="H73" s="347">
        <f>SUM(H17:H72)</f>
        <v>986469.41333280387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25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34223.924690152948</v>
      </c>
      <c r="N87" s="508">
        <f>IF(J92&lt;D11,0,VLOOKUP(J92,C17:O72,11))</f>
        <v>34223.924690152948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37548.523685600252</v>
      </c>
      <c r="N88" s="512">
        <f>IF(J92&lt;D11,0,VLOOKUP(J92,C99:P154,7))</f>
        <v>37548.523685600252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Fort Towson-Valliant Line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3324.5989954473043</v>
      </c>
      <c r="N89" s="517">
        <f>+N88-N87</f>
        <v>3324.5989954473043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TP2015204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288860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7045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2018</v>
      </c>
      <c r="D99" s="584">
        <v>0</v>
      </c>
      <c r="E99" s="608">
        <v>3512.5</v>
      </c>
      <c r="F99" s="584">
        <v>298567.5</v>
      </c>
      <c r="G99" s="608">
        <v>149283.75</v>
      </c>
      <c r="H99" s="587">
        <v>18849.250674297917</v>
      </c>
      <c r="I99" s="607">
        <v>18849.250674297917</v>
      </c>
      <c r="J99" s="478">
        <f>+I99-H99</f>
        <v>0</v>
      </c>
      <c r="K99" s="478"/>
      <c r="L99" s="477">
        <f>+H99</f>
        <v>18849.250674297917</v>
      </c>
      <c r="M99" s="477">
        <f t="shared" ref="M99" si="12">IF(L99&lt;&gt;0,+H99-L99,0)</f>
        <v>0</v>
      </c>
      <c r="N99" s="477">
        <f>+I99</f>
        <v>18849.250674297917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2019</v>
      </c>
      <c r="D100" s="578">
        <v>285347.5</v>
      </c>
      <c r="E100" s="579">
        <v>7045</v>
      </c>
      <c r="F100" s="578">
        <v>278302.5</v>
      </c>
      <c r="G100" s="579">
        <v>281825</v>
      </c>
      <c r="H100" s="602">
        <v>36105.110400173638</v>
      </c>
      <c r="I100" s="578">
        <v>36105.110400173638</v>
      </c>
      <c r="J100" s="478">
        <f t="shared" ref="J100:J130" si="15">+I100-H100</f>
        <v>0</v>
      </c>
      <c r="K100" s="478"/>
      <c r="L100" s="476">
        <f>H100</f>
        <v>36105.110400173638</v>
      </c>
      <c r="M100" s="348">
        <f>IF(L100&lt;&gt;0,+H100-L100,0)</f>
        <v>0</v>
      </c>
      <c r="N100" s="476">
        <f>I100</f>
        <v>36105.110400173638</v>
      </c>
      <c r="O100" s="478">
        <f t="shared" ref="O100:O130" si="16">IF(N100&lt;&gt;0,+I100-N100,0)</f>
        <v>0</v>
      </c>
      <c r="P100" s="478">
        <f t="shared" ref="P100:P130" si="17">+O100-M100</f>
        <v>0</v>
      </c>
    </row>
    <row r="101" spans="1:16" ht="12.5">
      <c r="B101" s="160" t="str">
        <f t="shared" ref="B101:B154" si="18">IF(D101=F100,"","IU")</f>
        <v/>
      </c>
      <c r="C101" s="472">
        <f>IF(D93="","-",+C100+1)</f>
        <v>2020</v>
      </c>
      <c r="D101" s="578">
        <v>278302.5</v>
      </c>
      <c r="E101" s="579">
        <v>6718</v>
      </c>
      <c r="F101" s="578">
        <v>271584.5</v>
      </c>
      <c r="G101" s="579">
        <v>274943.5</v>
      </c>
      <c r="H101" s="602">
        <v>38418.229655174066</v>
      </c>
      <c r="I101" s="578">
        <v>38418.229655174066</v>
      </c>
      <c r="J101" s="478">
        <f t="shared" si="15"/>
        <v>0</v>
      </c>
      <c r="K101" s="478"/>
      <c r="L101" s="476">
        <f>H101</f>
        <v>38418.229655174066</v>
      </c>
      <c r="M101" s="348">
        <f>IF(L101&lt;&gt;0,+H101-L101,0)</f>
        <v>0</v>
      </c>
      <c r="N101" s="476">
        <f>I101</f>
        <v>38418.229655174066</v>
      </c>
      <c r="O101" s="478">
        <f t="shared" si="16"/>
        <v>0</v>
      </c>
      <c r="P101" s="478">
        <f t="shared" si="17"/>
        <v>0</v>
      </c>
    </row>
    <row r="102" spans="1:16" ht="12.5">
      <c r="B102" s="160" t="str">
        <f t="shared" si="18"/>
        <v/>
      </c>
      <c r="C102" s="472">
        <f>IF(D93="","-",+C101+1)</f>
        <v>2021</v>
      </c>
      <c r="D102" s="346">
        <f>IF(F101+SUM(E$99:E101)=D$92,F101,D$92-SUM(E$99:E101))</f>
        <v>271584.5</v>
      </c>
      <c r="E102" s="484">
        <f t="shared" ref="E102:E154" si="19">IF(+J$96&lt;F101,J$96,D102)</f>
        <v>7045</v>
      </c>
      <c r="F102" s="485">
        <f t="shared" ref="F102:F154" si="20">+D102-E102</f>
        <v>264539.5</v>
      </c>
      <c r="G102" s="485">
        <f t="shared" ref="G102:G154" si="21">+(F102+D102)/2</f>
        <v>268062</v>
      </c>
      <c r="H102" s="613">
        <f t="shared" ref="H102:H154" si="22">+J$94*G102+E102</f>
        <v>37548.523685600252</v>
      </c>
      <c r="I102" s="614">
        <f t="shared" ref="I102:I154" si="23">+J$95*G102+E102</f>
        <v>37548.523685600252</v>
      </c>
      <c r="J102" s="478">
        <f t="shared" si="15"/>
        <v>0</v>
      </c>
      <c r="K102" s="478"/>
      <c r="L102" s="487"/>
      <c r="M102" s="478">
        <f t="shared" ref="M102:M130" si="24">IF(L102&lt;&gt;0,+H102-L102,0)</f>
        <v>0</v>
      </c>
      <c r="N102" s="487"/>
      <c r="O102" s="478">
        <f t="shared" si="16"/>
        <v>0</v>
      </c>
      <c r="P102" s="478">
        <f t="shared" si="17"/>
        <v>0</v>
      </c>
    </row>
    <row r="103" spans="1:16" ht="12.5">
      <c r="B103" s="160" t="str">
        <f t="shared" si="18"/>
        <v/>
      </c>
      <c r="C103" s="472">
        <f>IF(D93="","-",+C102+1)</f>
        <v>2022</v>
      </c>
      <c r="D103" s="346">
        <f>IF(F102+SUM(E$99:E102)=D$92,F102,D$92-SUM(E$99:E102))</f>
        <v>264539.5</v>
      </c>
      <c r="E103" s="484">
        <f t="shared" si="19"/>
        <v>7045</v>
      </c>
      <c r="F103" s="485">
        <f t="shared" si="20"/>
        <v>257494.5</v>
      </c>
      <c r="G103" s="485">
        <f t="shared" si="21"/>
        <v>261017</v>
      </c>
      <c r="H103" s="613">
        <f t="shared" si="22"/>
        <v>36746.853458693586</v>
      </c>
      <c r="I103" s="614">
        <f t="shared" si="23"/>
        <v>36746.853458693586</v>
      </c>
      <c r="J103" s="478">
        <f t="shared" si="15"/>
        <v>0</v>
      </c>
      <c r="K103" s="478"/>
      <c r="L103" s="487"/>
      <c r="M103" s="478">
        <f t="shared" si="24"/>
        <v>0</v>
      </c>
      <c r="N103" s="487"/>
      <c r="O103" s="478">
        <f t="shared" si="16"/>
        <v>0</v>
      </c>
      <c r="P103" s="478">
        <f t="shared" si="17"/>
        <v>0</v>
      </c>
    </row>
    <row r="104" spans="1:16" ht="12.5">
      <c r="B104" s="160" t="str">
        <f t="shared" si="18"/>
        <v/>
      </c>
      <c r="C104" s="472">
        <f>IF(D93="","-",+C103+1)</f>
        <v>2023</v>
      </c>
      <c r="D104" s="346">
        <f>IF(F103+SUM(E$99:E103)=D$92,F103,D$92-SUM(E$99:E103))</f>
        <v>257494.5</v>
      </c>
      <c r="E104" s="484">
        <f t="shared" si="19"/>
        <v>7045</v>
      </c>
      <c r="F104" s="485">
        <f t="shared" si="20"/>
        <v>250449.5</v>
      </c>
      <c r="G104" s="485">
        <f t="shared" si="21"/>
        <v>253972</v>
      </c>
      <c r="H104" s="613">
        <f t="shared" si="22"/>
        <v>35945.183231786927</v>
      </c>
      <c r="I104" s="614">
        <f t="shared" si="23"/>
        <v>35945.183231786927</v>
      </c>
      <c r="J104" s="478">
        <f t="shared" si="15"/>
        <v>0</v>
      </c>
      <c r="K104" s="478"/>
      <c r="L104" s="487"/>
      <c r="M104" s="478">
        <f t="shared" si="24"/>
        <v>0</v>
      </c>
      <c r="N104" s="487"/>
      <c r="O104" s="478">
        <f t="shared" si="16"/>
        <v>0</v>
      </c>
      <c r="P104" s="478">
        <f t="shared" si="17"/>
        <v>0</v>
      </c>
    </row>
    <row r="105" spans="1:16" ht="12.5">
      <c r="B105" s="160" t="str">
        <f t="shared" si="18"/>
        <v/>
      </c>
      <c r="C105" s="472">
        <f>IF(D93="","-",+C104+1)</f>
        <v>2024</v>
      </c>
      <c r="D105" s="346">
        <f>IF(F104+SUM(E$99:E104)=D$92,F104,D$92-SUM(E$99:E104))</f>
        <v>250449.5</v>
      </c>
      <c r="E105" s="484">
        <f t="shared" si="19"/>
        <v>7045</v>
      </c>
      <c r="F105" s="485">
        <f t="shared" si="20"/>
        <v>243404.5</v>
      </c>
      <c r="G105" s="485">
        <f t="shared" si="21"/>
        <v>246927</v>
      </c>
      <c r="H105" s="613">
        <f t="shared" si="22"/>
        <v>35143.513004880268</v>
      </c>
      <c r="I105" s="614">
        <f t="shared" si="23"/>
        <v>35143.513004880268</v>
      </c>
      <c r="J105" s="478">
        <f t="shared" si="15"/>
        <v>0</v>
      </c>
      <c r="K105" s="478"/>
      <c r="L105" s="487"/>
      <c r="M105" s="478">
        <f t="shared" si="24"/>
        <v>0</v>
      </c>
      <c r="N105" s="487"/>
      <c r="O105" s="478">
        <f t="shared" si="16"/>
        <v>0</v>
      </c>
      <c r="P105" s="478">
        <f t="shared" si="17"/>
        <v>0</v>
      </c>
    </row>
    <row r="106" spans="1:16" ht="12.5">
      <c r="B106" s="160" t="str">
        <f t="shared" si="18"/>
        <v/>
      </c>
      <c r="C106" s="472">
        <f>IF(D93="","-",+C105+1)</f>
        <v>2025</v>
      </c>
      <c r="D106" s="346">
        <f>IF(F105+SUM(E$99:E105)=D$92,F105,D$92-SUM(E$99:E105))</f>
        <v>243404.5</v>
      </c>
      <c r="E106" s="484">
        <f t="shared" si="19"/>
        <v>7045</v>
      </c>
      <c r="F106" s="485">
        <f t="shared" si="20"/>
        <v>236359.5</v>
      </c>
      <c r="G106" s="485">
        <f t="shared" si="21"/>
        <v>239882</v>
      </c>
      <c r="H106" s="613">
        <f t="shared" si="22"/>
        <v>34341.842777973601</v>
      </c>
      <c r="I106" s="614">
        <f t="shared" si="23"/>
        <v>34341.842777973601</v>
      </c>
      <c r="J106" s="478">
        <f t="shared" si="15"/>
        <v>0</v>
      </c>
      <c r="K106" s="478"/>
      <c r="L106" s="487"/>
      <c r="M106" s="478">
        <f t="shared" si="24"/>
        <v>0</v>
      </c>
      <c r="N106" s="487"/>
      <c r="O106" s="478">
        <f t="shared" si="16"/>
        <v>0</v>
      </c>
      <c r="P106" s="478">
        <f t="shared" si="17"/>
        <v>0</v>
      </c>
    </row>
    <row r="107" spans="1:16" ht="12.5">
      <c r="B107" s="160" t="str">
        <f t="shared" si="18"/>
        <v/>
      </c>
      <c r="C107" s="472">
        <f>IF(D93="","-",+C106+1)</f>
        <v>2026</v>
      </c>
      <c r="D107" s="346">
        <f>IF(F106+SUM(E$99:E106)=D$92,F106,D$92-SUM(E$99:E106))</f>
        <v>236359.5</v>
      </c>
      <c r="E107" s="484">
        <f t="shared" si="19"/>
        <v>7045</v>
      </c>
      <c r="F107" s="485">
        <f t="shared" si="20"/>
        <v>229314.5</v>
      </c>
      <c r="G107" s="485">
        <f t="shared" si="21"/>
        <v>232837</v>
      </c>
      <c r="H107" s="613">
        <f t="shared" si="22"/>
        <v>33540.172551066935</v>
      </c>
      <c r="I107" s="614">
        <f t="shared" si="23"/>
        <v>33540.172551066935</v>
      </c>
      <c r="J107" s="478">
        <f t="shared" si="15"/>
        <v>0</v>
      </c>
      <c r="K107" s="478"/>
      <c r="L107" s="487"/>
      <c r="M107" s="478">
        <f t="shared" si="24"/>
        <v>0</v>
      </c>
      <c r="N107" s="487"/>
      <c r="O107" s="478">
        <f t="shared" si="16"/>
        <v>0</v>
      </c>
      <c r="P107" s="478">
        <f t="shared" si="17"/>
        <v>0</v>
      </c>
    </row>
    <row r="108" spans="1:16" ht="12.5">
      <c r="B108" s="160" t="str">
        <f t="shared" si="18"/>
        <v/>
      </c>
      <c r="C108" s="472">
        <f>IF(D93="","-",+C107+1)</f>
        <v>2027</v>
      </c>
      <c r="D108" s="346">
        <f>IF(F107+SUM(E$99:E107)=D$92,F107,D$92-SUM(E$99:E107))</f>
        <v>229314.5</v>
      </c>
      <c r="E108" s="484">
        <f t="shared" si="19"/>
        <v>7045</v>
      </c>
      <c r="F108" s="485">
        <f t="shared" si="20"/>
        <v>222269.5</v>
      </c>
      <c r="G108" s="485">
        <f t="shared" si="21"/>
        <v>225792</v>
      </c>
      <c r="H108" s="613">
        <f t="shared" si="22"/>
        <v>32738.502324160276</v>
      </c>
      <c r="I108" s="614">
        <f t="shared" si="23"/>
        <v>32738.502324160276</v>
      </c>
      <c r="J108" s="478">
        <f t="shared" si="15"/>
        <v>0</v>
      </c>
      <c r="K108" s="478"/>
      <c r="L108" s="487"/>
      <c r="M108" s="478">
        <f t="shared" si="24"/>
        <v>0</v>
      </c>
      <c r="N108" s="487"/>
      <c r="O108" s="478">
        <f t="shared" si="16"/>
        <v>0</v>
      </c>
      <c r="P108" s="478">
        <f t="shared" si="17"/>
        <v>0</v>
      </c>
    </row>
    <row r="109" spans="1:16" ht="12.5">
      <c r="B109" s="160" t="str">
        <f t="shared" si="18"/>
        <v/>
      </c>
      <c r="C109" s="472">
        <f>IF(D93="","-",+C108+1)</f>
        <v>2028</v>
      </c>
      <c r="D109" s="346">
        <f>IF(F108+SUM(E$99:E108)=D$92,F108,D$92-SUM(E$99:E108))</f>
        <v>222269.5</v>
      </c>
      <c r="E109" s="484">
        <f t="shared" si="19"/>
        <v>7045</v>
      </c>
      <c r="F109" s="485">
        <f t="shared" si="20"/>
        <v>215224.5</v>
      </c>
      <c r="G109" s="485">
        <f t="shared" si="21"/>
        <v>218747</v>
      </c>
      <c r="H109" s="613">
        <f t="shared" si="22"/>
        <v>31936.832097253613</v>
      </c>
      <c r="I109" s="614">
        <f t="shared" si="23"/>
        <v>31936.832097253613</v>
      </c>
      <c r="J109" s="478">
        <f t="shared" si="15"/>
        <v>0</v>
      </c>
      <c r="K109" s="478"/>
      <c r="L109" s="487"/>
      <c r="M109" s="478">
        <f t="shared" si="24"/>
        <v>0</v>
      </c>
      <c r="N109" s="487"/>
      <c r="O109" s="478">
        <f t="shared" si="16"/>
        <v>0</v>
      </c>
      <c r="P109" s="478">
        <f t="shared" si="17"/>
        <v>0</v>
      </c>
    </row>
    <row r="110" spans="1:16" ht="12.5">
      <c r="B110" s="160" t="str">
        <f t="shared" si="18"/>
        <v/>
      </c>
      <c r="C110" s="472">
        <f>IF(D93="","-",+C109+1)</f>
        <v>2029</v>
      </c>
      <c r="D110" s="346">
        <f>IF(F109+SUM(E$99:E109)=D$92,F109,D$92-SUM(E$99:E109))</f>
        <v>215224.5</v>
      </c>
      <c r="E110" s="484">
        <f t="shared" si="19"/>
        <v>7045</v>
      </c>
      <c r="F110" s="485">
        <f t="shared" si="20"/>
        <v>208179.5</v>
      </c>
      <c r="G110" s="485">
        <f t="shared" si="21"/>
        <v>211702</v>
      </c>
      <c r="H110" s="613">
        <f t="shared" si="22"/>
        <v>31135.16187034695</v>
      </c>
      <c r="I110" s="614">
        <f t="shared" si="23"/>
        <v>31135.16187034695</v>
      </c>
      <c r="J110" s="478">
        <f t="shared" si="15"/>
        <v>0</v>
      </c>
      <c r="K110" s="478"/>
      <c r="L110" s="487"/>
      <c r="M110" s="478">
        <f t="shared" si="24"/>
        <v>0</v>
      </c>
      <c r="N110" s="487"/>
      <c r="O110" s="478">
        <f t="shared" si="16"/>
        <v>0</v>
      </c>
      <c r="P110" s="478">
        <f t="shared" si="17"/>
        <v>0</v>
      </c>
    </row>
    <row r="111" spans="1:16" ht="12.5">
      <c r="B111" s="160" t="str">
        <f t="shared" si="18"/>
        <v/>
      </c>
      <c r="C111" s="472">
        <f>IF(D93="","-",+C110+1)</f>
        <v>2030</v>
      </c>
      <c r="D111" s="346">
        <f>IF(F110+SUM(E$99:E110)=D$92,F110,D$92-SUM(E$99:E110))</f>
        <v>208179.5</v>
      </c>
      <c r="E111" s="484">
        <f t="shared" si="19"/>
        <v>7045</v>
      </c>
      <c r="F111" s="485">
        <f t="shared" si="20"/>
        <v>201134.5</v>
      </c>
      <c r="G111" s="485">
        <f t="shared" si="21"/>
        <v>204657</v>
      </c>
      <c r="H111" s="613">
        <f t="shared" si="22"/>
        <v>30333.491643440288</v>
      </c>
      <c r="I111" s="614">
        <f t="shared" si="23"/>
        <v>30333.491643440288</v>
      </c>
      <c r="J111" s="478">
        <f t="shared" si="15"/>
        <v>0</v>
      </c>
      <c r="K111" s="478"/>
      <c r="L111" s="487"/>
      <c r="M111" s="478">
        <f t="shared" si="24"/>
        <v>0</v>
      </c>
      <c r="N111" s="487"/>
      <c r="O111" s="478">
        <f t="shared" si="16"/>
        <v>0</v>
      </c>
      <c r="P111" s="478">
        <f t="shared" si="17"/>
        <v>0</v>
      </c>
    </row>
    <row r="112" spans="1:16" ht="12.5">
      <c r="B112" s="160" t="str">
        <f t="shared" si="18"/>
        <v/>
      </c>
      <c r="C112" s="472">
        <f>IF(D93="","-",+C111+1)</f>
        <v>2031</v>
      </c>
      <c r="D112" s="346">
        <f>IF(F111+SUM(E$99:E111)=D$92,F111,D$92-SUM(E$99:E111))</f>
        <v>201134.5</v>
      </c>
      <c r="E112" s="484">
        <f t="shared" si="19"/>
        <v>7045</v>
      </c>
      <c r="F112" s="485">
        <f t="shared" si="20"/>
        <v>194089.5</v>
      </c>
      <c r="G112" s="485">
        <f t="shared" si="21"/>
        <v>197612</v>
      </c>
      <c r="H112" s="613">
        <f t="shared" si="22"/>
        <v>29531.821416533625</v>
      </c>
      <c r="I112" s="614">
        <f t="shared" si="23"/>
        <v>29531.821416533625</v>
      </c>
      <c r="J112" s="478">
        <f t="shared" si="15"/>
        <v>0</v>
      </c>
      <c r="K112" s="478"/>
      <c r="L112" s="487"/>
      <c r="M112" s="478">
        <f t="shared" si="24"/>
        <v>0</v>
      </c>
      <c r="N112" s="487"/>
      <c r="O112" s="478">
        <f t="shared" si="16"/>
        <v>0</v>
      </c>
      <c r="P112" s="478">
        <f t="shared" si="17"/>
        <v>0</v>
      </c>
    </row>
    <row r="113" spans="2:16" ht="12.5">
      <c r="B113" s="160" t="str">
        <f t="shared" si="18"/>
        <v/>
      </c>
      <c r="C113" s="472">
        <f>IF(D93="","-",+C112+1)</f>
        <v>2032</v>
      </c>
      <c r="D113" s="346">
        <f>IF(F112+SUM(E$99:E112)=D$92,F112,D$92-SUM(E$99:E112))</f>
        <v>194089.5</v>
      </c>
      <c r="E113" s="484">
        <f t="shared" si="19"/>
        <v>7045</v>
      </c>
      <c r="F113" s="485">
        <f t="shared" si="20"/>
        <v>187044.5</v>
      </c>
      <c r="G113" s="485">
        <f t="shared" si="21"/>
        <v>190567</v>
      </c>
      <c r="H113" s="613">
        <f t="shared" si="22"/>
        <v>28730.151189626962</v>
      </c>
      <c r="I113" s="614">
        <f t="shared" si="23"/>
        <v>28730.151189626962</v>
      </c>
      <c r="J113" s="478">
        <f t="shared" si="15"/>
        <v>0</v>
      </c>
      <c r="K113" s="478"/>
      <c r="L113" s="487"/>
      <c r="M113" s="478">
        <f t="shared" si="24"/>
        <v>0</v>
      </c>
      <c r="N113" s="487"/>
      <c r="O113" s="478">
        <f t="shared" si="16"/>
        <v>0</v>
      </c>
      <c r="P113" s="478">
        <f t="shared" si="17"/>
        <v>0</v>
      </c>
    </row>
    <row r="114" spans="2:16" ht="12.5">
      <c r="B114" s="160" t="str">
        <f t="shared" si="18"/>
        <v/>
      </c>
      <c r="C114" s="472">
        <f>IF(D93="","-",+C113+1)</f>
        <v>2033</v>
      </c>
      <c r="D114" s="346">
        <f>IF(F113+SUM(E$99:E113)=D$92,F113,D$92-SUM(E$99:E113))</f>
        <v>187044.5</v>
      </c>
      <c r="E114" s="484">
        <f t="shared" si="19"/>
        <v>7045</v>
      </c>
      <c r="F114" s="485">
        <f t="shared" si="20"/>
        <v>179999.5</v>
      </c>
      <c r="G114" s="485">
        <f t="shared" si="21"/>
        <v>183522</v>
      </c>
      <c r="H114" s="613">
        <f t="shared" si="22"/>
        <v>27928.480962720299</v>
      </c>
      <c r="I114" s="614">
        <f t="shared" si="23"/>
        <v>27928.480962720299</v>
      </c>
      <c r="J114" s="478">
        <f t="shared" si="15"/>
        <v>0</v>
      </c>
      <c r="K114" s="478"/>
      <c r="L114" s="487"/>
      <c r="M114" s="478">
        <f t="shared" si="24"/>
        <v>0</v>
      </c>
      <c r="N114" s="487"/>
      <c r="O114" s="478">
        <f t="shared" si="16"/>
        <v>0</v>
      </c>
      <c r="P114" s="478">
        <f t="shared" si="17"/>
        <v>0</v>
      </c>
    </row>
    <row r="115" spans="2:16" ht="12.5">
      <c r="B115" s="160" t="str">
        <f t="shared" si="18"/>
        <v/>
      </c>
      <c r="C115" s="472">
        <f>IF(D93="","-",+C114+1)</f>
        <v>2034</v>
      </c>
      <c r="D115" s="346">
        <f>IF(F114+SUM(E$99:E114)=D$92,F114,D$92-SUM(E$99:E114))</f>
        <v>179999.5</v>
      </c>
      <c r="E115" s="484">
        <f t="shared" si="19"/>
        <v>7045</v>
      </c>
      <c r="F115" s="485">
        <f t="shared" si="20"/>
        <v>172954.5</v>
      </c>
      <c r="G115" s="485">
        <f t="shared" si="21"/>
        <v>176477</v>
      </c>
      <c r="H115" s="613">
        <f t="shared" si="22"/>
        <v>27126.810735813637</v>
      </c>
      <c r="I115" s="614">
        <f t="shared" si="23"/>
        <v>27126.810735813637</v>
      </c>
      <c r="J115" s="478">
        <f t="shared" si="15"/>
        <v>0</v>
      </c>
      <c r="K115" s="478"/>
      <c r="L115" s="487"/>
      <c r="M115" s="478">
        <f t="shared" si="24"/>
        <v>0</v>
      </c>
      <c r="N115" s="487"/>
      <c r="O115" s="478">
        <f t="shared" si="16"/>
        <v>0</v>
      </c>
      <c r="P115" s="478">
        <f t="shared" si="17"/>
        <v>0</v>
      </c>
    </row>
    <row r="116" spans="2:16" ht="12.5">
      <c r="B116" s="160" t="str">
        <f t="shared" si="18"/>
        <v/>
      </c>
      <c r="C116" s="472">
        <f>IF(D93="","-",+C115+1)</f>
        <v>2035</v>
      </c>
      <c r="D116" s="346">
        <f>IF(F115+SUM(E$99:E115)=D$92,F115,D$92-SUM(E$99:E115))</f>
        <v>172954.5</v>
      </c>
      <c r="E116" s="484">
        <f t="shared" si="19"/>
        <v>7045</v>
      </c>
      <c r="F116" s="485">
        <f t="shared" si="20"/>
        <v>165909.5</v>
      </c>
      <c r="G116" s="485">
        <f t="shared" si="21"/>
        <v>169432</v>
      </c>
      <c r="H116" s="613">
        <f t="shared" si="22"/>
        <v>26325.140508906974</v>
      </c>
      <c r="I116" s="614">
        <f t="shared" si="23"/>
        <v>26325.140508906974</v>
      </c>
      <c r="J116" s="478">
        <f t="shared" si="15"/>
        <v>0</v>
      </c>
      <c r="K116" s="478"/>
      <c r="L116" s="487"/>
      <c r="M116" s="478">
        <f t="shared" si="24"/>
        <v>0</v>
      </c>
      <c r="N116" s="487"/>
      <c r="O116" s="478">
        <f t="shared" si="16"/>
        <v>0</v>
      </c>
      <c r="P116" s="478">
        <f t="shared" si="17"/>
        <v>0</v>
      </c>
    </row>
    <row r="117" spans="2:16" ht="12.5">
      <c r="B117" s="160" t="str">
        <f t="shared" si="18"/>
        <v/>
      </c>
      <c r="C117" s="472">
        <f>IF(D93="","-",+C116+1)</f>
        <v>2036</v>
      </c>
      <c r="D117" s="346">
        <f>IF(F116+SUM(E$99:E116)=D$92,F116,D$92-SUM(E$99:E116))</f>
        <v>165909.5</v>
      </c>
      <c r="E117" s="484">
        <f t="shared" si="19"/>
        <v>7045</v>
      </c>
      <c r="F117" s="485">
        <f t="shared" si="20"/>
        <v>158864.5</v>
      </c>
      <c r="G117" s="485">
        <f t="shared" si="21"/>
        <v>162387</v>
      </c>
      <c r="H117" s="613">
        <f t="shared" si="22"/>
        <v>25523.470282000315</v>
      </c>
      <c r="I117" s="614">
        <f t="shared" si="23"/>
        <v>25523.470282000315</v>
      </c>
      <c r="J117" s="478">
        <f t="shared" si="15"/>
        <v>0</v>
      </c>
      <c r="K117" s="478"/>
      <c r="L117" s="487"/>
      <c r="M117" s="478">
        <f t="shared" si="24"/>
        <v>0</v>
      </c>
      <c r="N117" s="487"/>
      <c r="O117" s="478">
        <f t="shared" si="16"/>
        <v>0</v>
      </c>
      <c r="P117" s="478">
        <f t="shared" si="17"/>
        <v>0</v>
      </c>
    </row>
    <row r="118" spans="2:16" ht="12.5">
      <c r="B118" s="160" t="str">
        <f t="shared" si="18"/>
        <v/>
      </c>
      <c r="C118" s="472">
        <f>IF(D93="","-",+C117+1)</f>
        <v>2037</v>
      </c>
      <c r="D118" s="346">
        <f>IF(F117+SUM(E$99:E117)=D$92,F117,D$92-SUM(E$99:E117))</f>
        <v>158864.5</v>
      </c>
      <c r="E118" s="484">
        <f t="shared" si="19"/>
        <v>7045</v>
      </c>
      <c r="F118" s="485">
        <f t="shared" si="20"/>
        <v>151819.5</v>
      </c>
      <c r="G118" s="485">
        <f t="shared" si="21"/>
        <v>155342</v>
      </c>
      <c r="H118" s="613">
        <f t="shared" si="22"/>
        <v>24721.800055093652</v>
      </c>
      <c r="I118" s="614">
        <f t="shared" si="23"/>
        <v>24721.800055093652</v>
      </c>
      <c r="J118" s="478">
        <f t="shared" si="15"/>
        <v>0</v>
      </c>
      <c r="K118" s="478"/>
      <c r="L118" s="487"/>
      <c r="M118" s="478">
        <f t="shared" si="24"/>
        <v>0</v>
      </c>
      <c r="N118" s="487"/>
      <c r="O118" s="478">
        <f t="shared" si="16"/>
        <v>0</v>
      </c>
      <c r="P118" s="478">
        <f t="shared" si="17"/>
        <v>0</v>
      </c>
    </row>
    <row r="119" spans="2:16" ht="12.5">
      <c r="B119" s="160" t="str">
        <f t="shared" si="18"/>
        <v/>
      </c>
      <c r="C119" s="472">
        <f>IF(D93="","-",+C118+1)</f>
        <v>2038</v>
      </c>
      <c r="D119" s="346">
        <f>IF(F118+SUM(E$99:E118)=D$92,F118,D$92-SUM(E$99:E118))</f>
        <v>151819.5</v>
      </c>
      <c r="E119" s="484">
        <f t="shared" si="19"/>
        <v>7045</v>
      </c>
      <c r="F119" s="485">
        <f t="shared" si="20"/>
        <v>144774.5</v>
      </c>
      <c r="G119" s="485">
        <f t="shared" si="21"/>
        <v>148297</v>
      </c>
      <c r="H119" s="613">
        <f t="shared" si="22"/>
        <v>23920.129828186989</v>
      </c>
      <c r="I119" s="614">
        <f t="shared" si="23"/>
        <v>23920.129828186989</v>
      </c>
      <c r="J119" s="478">
        <f t="shared" si="15"/>
        <v>0</v>
      </c>
      <c r="K119" s="478"/>
      <c r="L119" s="487"/>
      <c r="M119" s="478">
        <f t="shared" si="24"/>
        <v>0</v>
      </c>
      <c r="N119" s="487"/>
      <c r="O119" s="478">
        <f t="shared" si="16"/>
        <v>0</v>
      </c>
      <c r="P119" s="478">
        <f t="shared" si="17"/>
        <v>0</v>
      </c>
    </row>
    <row r="120" spans="2:16" ht="12.5">
      <c r="B120" s="160" t="str">
        <f t="shared" si="18"/>
        <v/>
      </c>
      <c r="C120" s="472">
        <f>IF(D93="","-",+C119+1)</f>
        <v>2039</v>
      </c>
      <c r="D120" s="346">
        <f>IF(F119+SUM(E$99:E119)=D$92,F119,D$92-SUM(E$99:E119))</f>
        <v>144774.5</v>
      </c>
      <c r="E120" s="484">
        <f t="shared" si="19"/>
        <v>7045</v>
      </c>
      <c r="F120" s="485">
        <f t="shared" si="20"/>
        <v>137729.5</v>
      </c>
      <c r="G120" s="485">
        <f t="shared" si="21"/>
        <v>141252</v>
      </c>
      <c r="H120" s="613">
        <f t="shared" si="22"/>
        <v>23118.459601280323</v>
      </c>
      <c r="I120" s="614">
        <f t="shared" si="23"/>
        <v>23118.459601280323</v>
      </c>
      <c r="J120" s="478">
        <f t="shared" si="15"/>
        <v>0</v>
      </c>
      <c r="K120" s="478"/>
      <c r="L120" s="487"/>
      <c r="M120" s="478">
        <f t="shared" si="24"/>
        <v>0</v>
      </c>
      <c r="N120" s="487"/>
      <c r="O120" s="478">
        <f t="shared" si="16"/>
        <v>0</v>
      </c>
      <c r="P120" s="478">
        <f t="shared" si="17"/>
        <v>0</v>
      </c>
    </row>
    <row r="121" spans="2:16" ht="12.5">
      <c r="B121" s="160" t="str">
        <f t="shared" si="18"/>
        <v/>
      </c>
      <c r="C121" s="472">
        <f>IF(D93="","-",+C120+1)</f>
        <v>2040</v>
      </c>
      <c r="D121" s="346">
        <f>IF(F120+SUM(E$99:E120)=D$92,F120,D$92-SUM(E$99:E120))</f>
        <v>137729.5</v>
      </c>
      <c r="E121" s="484">
        <f t="shared" si="19"/>
        <v>7045</v>
      </c>
      <c r="F121" s="485">
        <f t="shared" si="20"/>
        <v>130684.5</v>
      </c>
      <c r="G121" s="485">
        <f t="shared" si="21"/>
        <v>134207</v>
      </c>
      <c r="H121" s="613">
        <f t="shared" si="22"/>
        <v>22316.789374373664</v>
      </c>
      <c r="I121" s="614">
        <f t="shared" si="23"/>
        <v>22316.789374373664</v>
      </c>
      <c r="J121" s="478">
        <f t="shared" si="15"/>
        <v>0</v>
      </c>
      <c r="K121" s="478"/>
      <c r="L121" s="487"/>
      <c r="M121" s="478">
        <f t="shared" si="24"/>
        <v>0</v>
      </c>
      <c r="N121" s="487"/>
      <c r="O121" s="478">
        <f t="shared" si="16"/>
        <v>0</v>
      </c>
      <c r="P121" s="478">
        <f t="shared" si="17"/>
        <v>0</v>
      </c>
    </row>
    <row r="122" spans="2:16" ht="12.5">
      <c r="B122" s="160" t="str">
        <f t="shared" si="18"/>
        <v/>
      </c>
      <c r="C122" s="472">
        <f>IF(D93="","-",+C121+1)</f>
        <v>2041</v>
      </c>
      <c r="D122" s="346">
        <f>IF(F121+SUM(E$99:E121)=D$92,F121,D$92-SUM(E$99:E121))</f>
        <v>130684.5</v>
      </c>
      <c r="E122" s="484">
        <f t="shared" si="19"/>
        <v>7045</v>
      </c>
      <c r="F122" s="485">
        <f t="shared" si="20"/>
        <v>123639.5</v>
      </c>
      <c r="G122" s="485">
        <f t="shared" si="21"/>
        <v>127162</v>
      </c>
      <c r="H122" s="613">
        <f t="shared" si="22"/>
        <v>21515.119147467001</v>
      </c>
      <c r="I122" s="614">
        <f t="shared" si="23"/>
        <v>21515.119147467001</v>
      </c>
      <c r="J122" s="478">
        <f t="shared" si="15"/>
        <v>0</v>
      </c>
      <c r="K122" s="478"/>
      <c r="L122" s="487"/>
      <c r="M122" s="478">
        <f t="shared" si="24"/>
        <v>0</v>
      </c>
      <c r="N122" s="487"/>
      <c r="O122" s="478">
        <f t="shared" si="16"/>
        <v>0</v>
      </c>
      <c r="P122" s="478">
        <f t="shared" si="17"/>
        <v>0</v>
      </c>
    </row>
    <row r="123" spans="2:16" ht="12.5">
      <c r="B123" s="160" t="str">
        <f t="shared" si="18"/>
        <v/>
      </c>
      <c r="C123" s="472">
        <f>IF(D93="","-",+C122+1)</f>
        <v>2042</v>
      </c>
      <c r="D123" s="346">
        <f>IF(F122+SUM(E$99:E122)=D$92,F122,D$92-SUM(E$99:E122))</f>
        <v>123639.5</v>
      </c>
      <c r="E123" s="484">
        <f t="shared" si="19"/>
        <v>7045</v>
      </c>
      <c r="F123" s="485">
        <f t="shared" si="20"/>
        <v>116594.5</v>
      </c>
      <c r="G123" s="485">
        <f t="shared" si="21"/>
        <v>120117</v>
      </c>
      <c r="H123" s="613">
        <f t="shared" si="22"/>
        <v>20713.448920560339</v>
      </c>
      <c r="I123" s="614">
        <f t="shared" si="23"/>
        <v>20713.448920560339</v>
      </c>
      <c r="J123" s="478">
        <f t="shared" si="15"/>
        <v>0</v>
      </c>
      <c r="K123" s="478"/>
      <c r="L123" s="487"/>
      <c r="M123" s="478">
        <f t="shared" si="24"/>
        <v>0</v>
      </c>
      <c r="N123" s="487"/>
      <c r="O123" s="478">
        <f t="shared" si="16"/>
        <v>0</v>
      </c>
      <c r="P123" s="478">
        <f t="shared" si="17"/>
        <v>0</v>
      </c>
    </row>
    <row r="124" spans="2:16" ht="12.5">
      <c r="B124" s="160" t="str">
        <f t="shared" si="18"/>
        <v/>
      </c>
      <c r="C124" s="472">
        <f>IF(D93="","-",+C123+1)</f>
        <v>2043</v>
      </c>
      <c r="D124" s="346">
        <f>IF(F123+SUM(E$99:E123)=D$92,F123,D$92-SUM(E$99:E123))</f>
        <v>116594.5</v>
      </c>
      <c r="E124" s="484">
        <f t="shared" si="19"/>
        <v>7045</v>
      </c>
      <c r="F124" s="485">
        <f t="shared" si="20"/>
        <v>109549.5</v>
      </c>
      <c r="G124" s="485">
        <f t="shared" si="21"/>
        <v>113072</v>
      </c>
      <c r="H124" s="613">
        <f t="shared" si="22"/>
        <v>19911.778693653676</v>
      </c>
      <c r="I124" s="614">
        <f t="shared" si="23"/>
        <v>19911.778693653676</v>
      </c>
      <c r="J124" s="478">
        <f t="shared" si="15"/>
        <v>0</v>
      </c>
      <c r="K124" s="478"/>
      <c r="L124" s="487"/>
      <c r="M124" s="478">
        <f t="shared" si="24"/>
        <v>0</v>
      </c>
      <c r="N124" s="487"/>
      <c r="O124" s="478">
        <f t="shared" si="16"/>
        <v>0</v>
      </c>
      <c r="P124" s="478">
        <f t="shared" si="17"/>
        <v>0</v>
      </c>
    </row>
    <row r="125" spans="2:16" ht="12.5">
      <c r="B125" s="160" t="str">
        <f t="shared" si="18"/>
        <v/>
      </c>
      <c r="C125" s="472">
        <f>IF(D93="","-",+C124+1)</f>
        <v>2044</v>
      </c>
      <c r="D125" s="346">
        <f>IF(F124+SUM(E$99:E124)=D$92,F124,D$92-SUM(E$99:E124))</f>
        <v>109549.5</v>
      </c>
      <c r="E125" s="484">
        <f t="shared" si="19"/>
        <v>7045</v>
      </c>
      <c r="F125" s="485">
        <f t="shared" si="20"/>
        <v>102504.5</v>
      </c>
      <c r="G125" s="485">
        <f t="shared" si="21"/>
        <v>106027</v>
      </c>
      <c r="H125" s="613">
        <f t="shared" si="22"/>
        <v>19110.108466747013</v>
      </c>
      <c r="I125" s="614">
        <f t="shared" si="23"/>
        <v>19110.108466747013</v>
      </c>
      <c r="J125" s="478">
        <f t="shared" si="15"/>
        <v>0</v>
      </c>
      <c r="K125" s="478"/>
      <c r="L125" s="487"/>
      <c r="M125" s="478">
        <f t="shared" si="24"/>
        <v>0</v>
      </c>
      <c r="N125" s="487"/>
      <c r="O125" s="478">
        <f t="shared" si="16"/>
        <v>0</v>
      </c>
      <c r="P125" s="478">
        <f t="shared" si="17"/>
        <v>0</v>
      </c>
    </row>
    <row r="126" spans="2:16" ht="12.5">
      <c r="B126" s="160" t="str">
        <f t="shared" si="18"/>
        <v/>
      </c>
      <c r="C126" s="472">
        <f>IF(D93="","-",+C125+1)</f>
        <v>2045</v>
      </c>
      <c r="D126" s="346">
        <f>IF(F125+SUM(E$99:E125)=D$92,F125,D$92-SUM(E$99:E125))</f>
        <v>102504.5</v>
      </c>
      <c r="E126" s="484">
        <f t="shared" si="19"/>
        <v>7045</v>
      </c>
      <c r="F126" s="485">
        <f t="shared" si="20"/>
        <v>95459.5</v>
      </c>
      <c r="G126" s="485">
        <f t="shared" si="21"/>
        <v>98982</v>
      </c>
      <c r="H126" s="613">
        <f t="shared" si="22"/>
        <v>18308.43823984035</v>
      </c>
      <c r="I126" s="614">
        <f t="shared" si="23"/>
        <v>18308.43823984035</v>
      </c>
      <c r="J126" s="478">
        <f t="shared" si="15"/>
        <v>0</v>
      </c>
      <c r="K126" s="478"/>
      <c r="L126" s="487"/>
      <c r="M126" s="478">
        <f t="shared" si="24"/>
        <v>0</v>
      </c>
      <c r="N126" s="487"/>
      <c r="O126" s="478">
        <f t="shared" si="16"/>
        <v>0</v>
      </c>
      <c r="P126" s="478">
        <f t="shared" si="17"/>
        <v>0</v>
      </c>
    </row>
    <row r="127" spans="2:16" ht="12.5">
      <c r="B127" s="160" t="str">
        <f t="shared" si="18"/>
        <v/>
      </c>
      <c r="C127" s="472">
        <f>IF(D93="","-",+C126+1)</f>
        <v>2046</v>
      </c>
      <c r="D127" s="346">
        <f>IF(F126+SUM(E$99:E126)=D$92,F126,D$92-SUM(E$99:E126))</f>
        <v>95459.5</v>
      </c>
      <c r="E127" s="484">
        <f t="shared" si="19"/>
        <v>7045</v>
      </c>
      <c r="F127" s="485">
        <f t="shared" si="20"/>
        <v>88414.5</v>
      </c>
      <c r="G127" s="485">
        <f t="shared" si="21"/>
        <v>91937</v>
      </c>
      <c r="H127" s="613">
        <f t="shared" si="22"/>
        <v>17506.768012933688</v>
      </c>
      <c r="I127" s="614">
        <f t="shared" si="23"/>
        <v>17506.768012933688</v>
      </c>
      <c r="J127" s="478">
        <f t="shared" si="15"/>
        <v>0</v>
      </c>
      <c r="K127" s="478"/>
      <c r="L127" s="487"/>
      <c r="M127" s="478">
        <f t="shared" si="24"/>
        <v>0</v>
      </c>
      <c r="N127" s="487"/>
      <c r="O127" s="478">
        <f t="shared" si="16"/>
        <v>0</v>
      </c>
      <c r="P127" s="478">
        <f t="shared" si="17"/>
        <v>0</v>
      </c>
    </row>
    <row r="128" spans="2:16" ht="12.5">
      <c r="B128" s="160" t="str">
        <f t="shared" si="18"/>
        <v/>
      </c>
      <c r="C128" s="472">
        <f>IF(D93="","-",+C127+1)</f>
        <v>2047</v>
      </c>
      <c r="D128" s="346">
        <f>IF(F127+SUM(E$99:E127)=D$92,F127,D$92-SUM(E$99:E127))</f>
        <v>88414.5</v>
      </c>
      <c r="E128" s="484">
        <f t="shared" si="19"/>
        <v>7045</v>
      </c>
      <c r="F128" s="485">
        <f t="shared" si="20"/>
        <v>81369.5</v>
      </c>
      <c r="G128" s="485">
        <f t="shared" si="21"/>
        <v>84892</v>
      </c>
      <c r="H128" s="613">
        <f t="shared" si="22"/>
        <v>16705.097786027025</v>
      </c>
      <c r="I128" s="614">
        <f t="shared" si="23"/>
        <v>16705.097786027025</v>
      </c>
      <c r="J128" s="478">
        <f t="shared" si="15"/>
        <v>0</v>
      </c>
      <c r="K128" s="478"/>
      <c r="L128" s="487"/>
      <c r="M128" s="478">
        <f t="shared" si="24"/>
        <v>0</v>
      </c>
      <c r="N128" s="487"/>
      <c r="O128" s="478">
        <f t="shared" si="16"/>
        <v>0</v>
      </c>
      <c r="P128" s="478">
        <f t="shared" si="17"/>
        <v>0</v>
      </c>
    </row>
    <row r="129" spans="2:16" ht="12.5">
      <c r="B129" s="160" t="str">
        <f t="shared" si="18"/>
        <v/>
      </c>
      <c r="C129" s="472">
        <f>IF(D93="","-",+C128+1)</f>
        <v>2048</v>
      </c>
      <c r="D129" s="346">
        <f>IF(F128+SUM(E$99:E128)=D$92,F128,D$92-SUM(E$99:E128))</f>
        <v>81369.5</v>
      </c>
      <c r="E129" s="484">
        <f t="shared" si="19"/>
        <v>7045</v>
      </c>
      <c r="F129" s="485">
        <f t="shared" si="20"/>
        <v>74324.5</v>
      </c>
      <c r="G129" s="485">
        <f t="shared" si="21"/>
        <v>77847</v>
      </c>
      <c r="H129" s="613">
        <f t="shared" si="22"/>
        <v>15903.427559120362</v>
      </c>
      <c r="I129" s="614">
        <f t="shared" si="23"/>
        <v>15903.427559120362</v>
      </c>
      <c r="J129" s="478">
        <f t="shared" si="15"/>
        <v>0</v>
      </c>
      <c r="K129" s="478"/>
      <c r="L129" s="487"/>
      <c r="M129" s="478">
        <f t="shared" si="24"/>
        <v>0</v>
      </c>
      <c r="N129" s="487"/>
      <c r="O129" s="478">
        <f t="shared" si="16"/>
        <v>0</v>
      </c>
      <c r="P129" s="478">
        <f t="shared" si="17"/>
        <v>0</v>
      </c>
    </row>
    <row r="130" spans="2:16" ht="12.5">
      <c r="B130" s="160" t="str">
        <f t="shared" si="18"/>
        <v/>
      </c>
      <c r="C130" s="472">
        <f>IF(D93="","-",+C129+1)</f>
        <v>2049</v>
      </c>
      <c r="D130" s="346">
        <f>IF(F129+SUM(E$99:E129)=D$92,F129,D$92-SUM(E$99:E129))</f>
        <v>74324.5</v>
      </c>
      <c r="E130" s="484">
        <f t="shared" si="19"/>
        <v>7045</v>
      </c>
      <c r="F130" s="485">
        <f t="shared" si="20"/>
        <v>67279.5</v>
      </c>
      <c r="G130" s="485">
        <f t="shared" si="21"/>
        <v>70802</v>
      </c>
      <c r="H130" s="613">
        <f t="shared" si="22"/>
        <v>15101.7573322137</v>
      </c>
      <c r="I130" s="614">
        <f t="shared" si="23"/>
        <v>15101.7573322137</v>
      </c>
      <c r="J130" s="478">
        <f t="shared" si="15"/>
        <v>0</v>
      </c>
      <c r="K130" s="478"/>
      <c r="L130" s="487"/>
      <c r="M130" s="478">
        <f t="shared" si="24"/>
        <v>0</v>
      </c>
      <c r="N130" s="487"/>
      <c r="O130" s="478">
        <f t="shared" si="16"/>
        <v>0</v>
      </c>
      <c r="P130" s="478">
        <f t="shared" si="17"/>
        <v>0</v>
      </c>
    </row>
    <row r="131" spans="2:16" ht="12.5">
      <c r="B131" s="160" t="str">
        <f t="shared" si="18"/>
        <v/>
      </c>
      <c r="C131" s="472">
        <f>IF(D93="","-",+C130+1)</f>
        <v>2050</v>
      </c>
      <c r="D131" s="346">
        <f>IF(F130+SUM(E$99:E130)=D$92,F130,D$92-SUM(E$99:E130))</f>
        <v>67279.5</v>
      </c>
      <c r="E131" s="484">
        <f t="shared" si="19"/>
        <v>7045</v>
      </c>
      <c r="F131" s="485">
        <f t="shared" si="20"/>
        <v>60234.5</v>
      </c>
      <c r="G131" s="485">
        <f t="shared" si="21"/>
        <v>63757</v>
      </c>
      <c r="H131" s="613">
        <f t="shared" si="22"/>
        <v>14300.087105307037</v>
      </c>
      <c r="I131" s="614">
        <f t="shared" si="23"/>
        <v>14300.087105307037</v>
      </c>
      <c r="J131" s="478">
        <f t="shared" ref="J131:J154" si="25">+I541-H541</f>
        <v>0</v>
      </c>
      <c r="K131" s="478"/>
      <c r="L131" s="487"/>
      <c r="M131" s="478">
        <f t="shared" ref="M131:M154" si="26">IF(L541&lt;&gt;0,+H541-L541,0)</f>
        <v>0</v>
      </c>
      <c r="N131" s="487"/>
      <c r="O131" s="478">
        <f t="shared" ref="O131:O154" si="27">IF(N541&lt;&gt;0,+I541-N541,0)</f>
        <v>0</v>
      </c>
      <c r="P131" s="478">
        <f t="shared" ref="P131:P154" si="28">+O541-M541</f>
        <v>0</v>
      </c>
    </row>
    <row r="132" spans="2:16" ht="12.5">
      <c r="B132" s="160" t="str">
        <f t="shared" si="18"/>
        <v/>
      </c>
      <c r="C132" s="472">
        <f>IF(D93="","-",+C131+1)</f>
        <v>2051</v>
      </c>
      <c r="D132" s="346">
        <f>IF(F131+SUM(E$99:E131)=D$92,F131,D$92-SUM(E$99:E131))</f>
        <v>60234.5</v>
      </c>
      <c r="E132" s="484">
        <f t="shared" si="19"/>
        <v>7045</v>
      </c>
      <c r="F132" s="485">
        <f t="shared" si="20"/>
        <v>53189.5</v>
      </c>
      <c r="G132" s="485">
        <f t="shared" si="21"/>
        <v>56712</v>
      </c>
      <c r="H132" s="613">
        <f t="shared" si="22"/>
        <v>13498.416878400374</v>
      </c>
      <c r="I132" s="614">
        <f t="shared" si="23"/>
        <v>13498.416878400374</v>
      </c>
      <c r="J132" s="478">
        <f t="shared" si="25"/>
        <v>0</v>
      </c>
      <c r="K132" s="478"/>
      <c r="L132" s="487"/>
      <c r="M132" s="478">
        <f t="shared" si="26"/>
        <v>0</v>
      </c>
      <c r="N132" s="487"/>
      <c r="O132" s="478">
        <f t="shared" si="27"/>
        <v>0</v>
      </c>
      <c r="P132" s="478">
        <f t="shared" si="28"/>
        <v>0</v>
      </c>
    </row>
    <row r="133" spans="2:16" ht="12.5">
      <c r="B133" s="160" t="str">
        <f t="shared" si="18"/>
        <v/>
      </c>
      <c r="C133" s="472">
        <f>IF(D93="","-",+C132+1)</f>
        <v>2052</v>
      </c>
      <c r="D133" s="346">
        <f>IF(F132+SUM(E$99:E132)=D$92,F132,D$92-SUM(E$99:E132))</f>
        <v>53189.5</v>
      </c>
      <c r="E133" s="484">
        <f t="shared" si="19"/>
        <v>7045</v>
      </c>
      <c r="F133" s="485">
        <f t="shared" si="20"/>
        <v>46144.5</v>
      </c>
      <c r="G133" s="485">
        <f t="shared" si="21"/>
        <v>49667</v>
      </c>
      <c r="H133" s="613">
        <f t="shared" si="22"/>
        <v>12696.746651493713</v>
      </c>
      <c r="I133" s="614">
        <f t="shared" si="23"/>
        <v>12696.746651493713</v>
      </c>
      <c r="J133" s="478">
        <f t="shared" si="25"/>
        <v>0</v>
      </c>
      <c r="K133" s="478"/>
      <c r="L133" s="487"/>
      <c r="M133" s="478">
        <f t="shared" si="26"/>
        <v>0</v>
      </c>
      <c r="N133" s="487"/>
      <c r="O133" s="478">
        <f t="shared" si="27"/>
        <v>0</v>
      </c>
      <c r="P133" s="478">
        <f t="shared" si="28"/>
        <v>0</v>
      </c>
    </row>
    <row r="134" spans="2:16" ht="12.5">
      <c r="B134" s="160" t="str">
        <f t="shared" si="18"/>
        <v/>
      </c>
      <c r="C134" s="472">
        <f>IF(D93="","-",+C133+1)</f>
        <v>2053</v>
      </c>
      <c r="D134" s="346">
        <f>IF(F133+SUM(E$99:E133)=D$92,F133,D$92-SUM(E$99:E133))</f>
        <v>46144.5</v>
      </c>
      <c r="E134" s="484">
        <f t="shared" si="19"/>
        <v>7045</v>
      </c>
      <c r="F134" s="485">
        <f t="shared" si="20"/>
        <v>39099.5</v>
      </c>
      <c r="G134" s="485">
        <f t="shared" si="21"/>
        <v>42622</v>
      </c>
      <c r="H134" s="613">
        <f t="shared" si="22"/>
        <v>11895.07642458705</v>
      </c>
      <c r="I134" s="614">
        <f t="shared" si="23"/>
        <v>11895.07642458705</v>
      </c>
      <c r="J134" s="478">
        <f t="shared" si="25"/>
        <v>0</v>
      </c>
      <c r="K134" s="478"/>
      <c r="L134" s="487"/>
      <c r="M134" s="478">
        <f t="shared" si="26"/>
        <v>0</v>
      </c>
      <c r="N134" s="487"/>
      <c r="O134" s="478">
        <f t="shared" si="27"/>
        <v>0</v>
      </c>
      <c r="P134" s="478">
        <f t="shared" si="28"/>
        <v>0</v>
      </c>
    </row>
    <row r="135" spans="2:16" ht="12.5">
      <c r="B135" s="160" t="str">
        <f t="shared" si="18"/>
        <v/>
      </c>
      <c r="C135" s="472">
        <f>IF(D93="","-",+C134+1)</f>
        <v>2054</v>
      </c>
      <c r="D135" s="346">
        <f>IF(F134+SUM(E$99:E134)=D$92,F134,D$92-SUM(E$99:E134))</f>
        <v>39099.5</v>
      </c>
      <c r="E135" s="484">
        <f t="shared" si="19"/>
        <v>7045</v>
      </c>
      <c r="F135" s="485">
        <f t="shared" si="20"/>
        <v>32054.5</v>
      </c>
      <c r="G135" s="485">
        <f t="shared" si="21"/>
        <v>35577</v>
      </c>
      <c r="H135" s="613">
        <f t="shared" si="22"/>
        <v>11093.406197680388</v>
      </c>
      <c r="I135" s="614">
        <f t="shared" si="23"/>
        <v>11093.406197680388</v>
      </c>
      <c r="J135" s="478">
        <f t="shared" si="25"/>
        <v>0</v>
      </c>
      <c r="K135" s="478"/>
      <c r="L135" s="487"/>
      <c r="M135" s="478">
        <f t="shared" si="26"/>
        <v>0</v>
      </c>
      <c r="N135" s="487"/>
      <c r="O135" s="478">
        <f t="shared" si="27"/>
        <v>0</v>
      </c>
      <c r="P135" s="478">
        <f t="shared" si="28"/>
        <v>0</v>
      </c>
    </row>
    <row r="136" spans="2:16" ht="12.5">
      <c r="B136" s="160" t="str">
        <f t="shared" si="18"/>
        <v/>
      </c>
      <c r="C136" s="472">
        <f>IF(D93="","-",+C135+1)</f>
        <v>2055</v>
      </c>
      <c r="D136" s="346">
        <f>IF(F135+SUM(E$99:E135)=D$92,F135,D$92-SUM(E$99:E135))</f>
        <v>32054.5</v>
      </c>
      <c r="E136" s="484">
        <f t="shared" si="19"/>
        <v>7045</v>
      </c>
      <c r="F136" s="485">
        <f t="shared" si="20"/>
        <v>25009.5</v>
      </c>
      <c r="G136" s="485">
        <f t="shared" si="21"/>
        <v>28532</v>
      </c>
      <c r="H136" s="613">
        <f t="shared" si="22"/>
        <v>10291.735970773725</v>
      </c>
      <c r="I136" s="614">
        <f t="shared" si="23"/>
        <v>10291.735970773725</v>
      </c>
      <c r="J136" s="478">
        <f t="shared" si="25"/>
        <v>0</v>
      </c>
      <c r="K136" s="478"/>
      <c r="L136" s="487"/>
      <c r="M136" s="478">
        <f t="shared" si="26"/>
        <v>0</v>
      </c>
      <c r="N136" s="487"/>
      <c r="O136" s="478">
        <f t="shared" si="27"/>
        <v>0</v>
      </c>
      <c r="P136" s="478">
        <f t="shared" si="28"/>
        <v>0</v>
      </c>
    </row>
    <row r="137" spans="2:16" ht="12.5">
      <c r="B137" s="160" t="str">
        <f t="shared" si="18"/>
        <v/>
      </c>
      <c r="C137" s="472">
        <f>IF(D93="","-",+C136+1)</f>
        <v>2056</v>
      </c>
      <c r="D137" s="346">
        <f>IF(F136+SUM(E$99:E136)=D$92,F136,D$92-SUM(E$99:E136))</f>
        <v>25009.5</v>
      </c>
      <c r="E137" s="484">
        <f t="shared" si="19"/>
        <v>7045</v>
      </c>
      <c r="F137" s="485">
        <f t="shared" si="20"/>
        <v>17964.5</v>
      </c>
      <c r="G137" s="485">
        <f t="shared" si="21"/>
        <v>21487</v>
      </c>
      <c r="H137" s="613">
        <f t="shared" si="22"/>
        <v>9490.0657438670623</v>
      </c>
      <c r="I137" s="614">
        <f t="shared" si="23"/>
        <v>9490.0657438670623</v>
      </c>
      <c r="J137" s="478">
        <f t="shared" si="25"/>
        <v>0</v>
      </c>
      <c r="K137" s="478"/>
      <c r="L137" s="487"/>
      <c r="M137" s="478">
        <f t="shared" si="26"/>
        <v>0</v>
      </c>
      <c r="N137" s="487"/>
      <c r="O137" s="478">
        <f t="shared" si="27"/>
        <v>0</v>
      </c>
      <c r="P137" s="478">
        <f t="shared" si="28"/>
        <v>0</v>
      </c>
    </row>
    <row r="138" spans="2:16" ht="12.5">
      <c r="B138" s="160" t="str">
        <f t="shared" si="18"/>
        <v/>
      </c>
      <c r="C138" s="472">
        <f>IF(D93="","-",+C137+1)</f>
        <v>2057</v>
      </c>
      <c r="D138" s="346">
        <f>IF(F137+SUM(E$99:E137)=D$92,F137,D$92-SUM(E$99:E137))</f>
        <v>17964.5</v>
      </c>
      <c r="E138" s="484">
        <f t="shared" si="19"/>
        <v>7045</v>
      </c>
      <c r="F138" s="485">
        <f t="shared" si="20"/>
        <v>10919.5</v>
      </c>
      <c r="G138" s="485">
        <f t="shared" si="21"/>
        <v>14442</v>
      </c>
      <c r="H138" s="613">
        <f t="shared" si="22"/>
        <v>8688.3955169603996</v>
      </c>
      <c r="I138" s="614">
        <f t="shared" si="23"/>
        <v>8688.3955169603996</v>
      </c>
      <c r="J138" s="478">
        <f t="shared" si="25"/>
        <v>0</v>
      </c>
      <c r="K138" s="478"/>
      <c r="L138" s="487"/>
      <c r="M138" s="478">
        <f t="shared" si="26"/>
        <v>0</v>
      </c>
      <c r="N138" s="487"/>
      <c r="O138" s="478">
        <f t="shared" si="27"/>
        <v>0</v>
      </c>
      <c r="P138" s="478">
        <f t="shared" si="28"/>
        <v>0</v>
      </c>
    </row>
    <row r="139" spans="2:16" ht="12.5">
      <c r="B139" s="160" t="str">
        <f t="shared" si="18"/>
        <v/>
      </c>
      <c r="C139" s="472">
        <f>IF(D93="","-",+C138+1)</f>
        <v>2058</v>
      </c>
      <c r="D139" s="346">
        <f>IF(F138+SUM(E$99:E138)=D$92,F138,D$92-SUM(E$99:E138))</f>
        <v>10919.5</v>
      </c>
      <c r="E139" s="484">
        <f t="shared" si="19"/>
        <v>7045</v>
      </c>
      <c r="F139" s="485">
        <f t="shared" si="20"/>
        <v>3874.5</v>
      </c>
      <c r="G139" s="485">
        <f t="shared" si="21"/>
        <v>7397</v>
      </c>
      <c r="H139" s="613">
        <f t="shared" si="22"/>
        <v>7886.7252900537378</v>
      </c>
      <c r="I139" s="614">
        <f t="shared" si="23"/>
        <v>7886.7252900537378</v>
      </c>
      <c r="J139" s="478">
        <f t="shared" si="25"/>
        <v>0</v>
      </c>
      <c r="K139" s="478"/>
      <c r="L139" s="487"/>
      <c r="M139" s="478">
        <f t="shared" si="26"/>
        <v>0</v>
      </c>
      <c r="N139" s="487"/>
      <c r="O139" s="478">
        <f t="shared" si="27"/>
        <v>0</v>
      </c>
      <c r="P139" s="478">
        <f t="shared" si="28"/>
        <v>0</v>
      </c>
    </row>
    <row r="140" spans="2:16" ht="12.5">
      <c r="B140" s="160" t="str">
        <f t="shared" si="18"/>
        <v/>
      </c>
      <c r="C140" s="472">
        <f>IF(D93="","-",+C139+1)</f>
        <v>2059</v>
      </c>
      <c r="D140" s="346">
        <f>IF(F139+SUM(E$99:E139)=D$92,F139,D$92-SUM(E$99:E139))</f>
        <v>3874.5</v>
      </c>
      <c r="E140" s="484">
        <f t="shared" si="19"/>
        <v>3874.5</v>
      </c>
      <c r="F140" s="485">
        <f t="shared" si="20"/>
        <v>0</v>
      </c>
      <c r="G140" s="485">
        <f t="shared" si="21"/>
        <v>1937.25</v>
      </c>
      <c r="H140" s="613">
        <f t="shared" si="22"/>
        <v>4094.9450883002032</v>
      </c>
      <c r="I140" s="614">
        <f t="shared" si="23"/>
        <v>4094.9450883002032</v>
      </c>
      <c r="J140" s="478">
        <f t="shared" si="25"/>
        <v>0</v>
      </c>
      <c r="K140" s="478"/>
      <c r="L140" s="487"/>
      <c r="M140" s="478">
        <f t="shared" si="26"/>
        <v>0</v>
      </c>
      <c r="N140" s="487"/>
      <c r="O140" s="478">
        <f t="shared" si="27"/>
        <v>0</v>
      </c>
      <c r="P140" s="478">
        <f t="shared" si="28"/>
        <v>0</v>
      </c>
    </row>
    <row r="141" spans="2:16" ht="12.5">
      <c r="B141" s="160" t="str">
        <f t="shared" si="18"/>
        <v/>
      </c>
      <c r="C141" s="472">
        <f>IF(D93="","-",+C140+1)</f>
        <v>2060</v>
      </c>
      <c r="D141" s="346">
        <f>IF(F140+SUM(E$99:E140)=D$92,F140,D$92-SUM(E$99:E140))</f>
        <v>0</v>
      </c>
      <c r="E141" s="484">
        <f t="shared" si="19"/>
        <v>0</v>
      </c>
      <c r="F141" s="485">
        <f t="shared" si="20"/>
        <v>0</v>
      </c>
      <c r="G141" s="485">
        <f t="shared" si="21"/>
        <v>0</v>
      </c>
      <c r="H141" s="613">
        <f t="shared" si="22"/>
        <v>0</v>
      </c>
      <c r="I141" s="614">
        <f t="shared" si="23"/>
        <v>0</v>
      </c>
      <c r="J141" s="478">
        <f t="shared" si="25"/>
        <v>0</v>
      </c>
      <c r="K141" s="478"/>
      <c r="L141" s="487"/>
      <c r="M141" s="478">
        <f t="shared" si="26"/>
        <v>0</v>
      </c>
      <c r="N141" s="487"/>
      <c r="O141" s="478">
        <f t="shared" si="27"/>
        <v>0</v>
      </c>
      <c r="P141" s="478">
        <f t="shared" si="28"/>
        <v>0</v>
      </c>
    </row>
    <row r="142" spans="2:16" ht="12.5">
      <c r="B142" s="160" t="str">
        <f t="shared" si="18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613">
        <f t="shared" si="22"/>
        <v>0</v>
      </c>
      <c r="I142" s="614">
        <f t="shared" si="23"/>
        <v>0</v>
      </c>
      <c r="J142" s="478">
        <f t="shared" si="25"/>
        <v>0</v>
      </c>
      <c r="K142" s="478"/>
      <c r="L142" s="487"/>
      <c r="M142" s="478">
        <f t="shared" si="26"/>
        <v>0</v>
      </c>
      <c r="N142" s="487"/>
      <c r="O142" s="478">
        <f t="shared" si="27"/>
        <v>0</v>
      </c>
      <c r="P142" s="478">
        <f t="shared" si="28"/>
        <v>0</v>
      </c>
    </row>
    <row r="143" spans="2:16" ht="12.5">
      <c r="B143" s="160" t="str">
        <f t="shared" si="18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613">
        <f t="shared" si="22"/>
        <v>0</v>
      </c>
      <c r="I143" s="614">
        <f t="shared" si="23"/>
        <v>0</v>
      </c>
      <c r="J143" s="478">
        <f t="shared" si="25"/>
        <v>0</v>
      </c>
      <c r="K143" s="478"/>
      <c r="L143" s="487"/>
      <c r="M143" s="478">
        <f t="shared" si="26"/>
        <v>0</v>
      </c>
      <c r="N143" s="487"/>
      <c r="O143" s="478">
        <f t="shared" si="27"/>
        <v>0</v>
      </c>
      <c r="P143" s="478">
        <f t="shared" si="28"/>
        <v>0</v>
      </c>
    </row>
    <row r="144" spans="2:16" ht="12.5">
      <c r="B144" s="160" t="str">
        <f t="shared" si="18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613">
        <f t="shared" si="22"/>
        <v>0</v>
      </c>
      <c r="I144" s="614">
        <f t="shared" si="23"/>
        <v>0</v>
      </c>
      <c r="J144" s="478">
        <f t="shared" si="25"/>
        <v>0</v>
      </c>
      <c r="K144" s="478"/>
      <c r="L144" s="487"/>
      <c r="M144" s="478">
        <f t="shared" si="26"/>
        <v>0</v>
      </c>
      <c r="N144" s="487"/>
      <c r="O144" s="478">
        <f t="shared" si="27"/>
        <v>0</v>
      </c>
      <c r="P144" s="478">
        <f t="shared" si="28"/>
        <v>0</v>
      </c>
    </row>
    <row r="145" spans="2:16" ht="12.5">
      <c r="B145" s="160" t="str">
        <f t="shared" si="18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613">
        <f t="shared" si="22"/>
        <v>0</v>
      </c>
      <c r="I145" s="614">
        <f t="shared" si="23"/>
        <v>0</v>
      </c>
      <c r="J145" s="478">
        <f t="shared" si="25"/>
        <v>0</v>
      </c>
      <c r="K145" s="478"/>
      <c r="L145" s="487"/>
      <c r="M145" s="478">
        <f t="shared" si="26"/>
        <v>0</v>
      </c>
      <c r="N145" s="487"/>
      <c r="O145" s="478">
        <f t="shared" si="27"/>
        <v>0</v>
      </c>
      <c r="P145" s="478">
        <f t="shared" si="28"/>
        <v>0</v>
      </c>
    </row>
    <row r="146" spans="2:16" ht="12.5">
      <c r="B146" s="160" t="str">
        <f t="shared" si="18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613">
        <f t="shared" si="22"/>
        <v>0</v>
      </c>
      <c r="I146" s="614">
        <f t="shared" si="23"/>
        <v>0</v>
      </c>
      <c r="J146" s="478">
        <f t="shared" si="25"/>
        <v>0</v>
      </c>
      <c r="K146" s="478"/>
      <c r="L146" s="487"/>
      <c r="M146" s="478">
        <f t="shared" si="26"/>
        <v>0</v>
      </c>
      <c r="N146" s="487"/>
      <c r="O146" s="478">
        <f t="shared" si="27"/>
        <v>0</v>
      </c>
      <c r="P146" s="478">
        <f t="shared" si="28"/>
        <v>0</v>
      </c>
    </row>
    <row r="147" spans="2:16" ht="12.5">
      <c r="B147" s="160" t="str">
        <f t="shared" si="18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613">
        <f t="shared" si="22"/>
        <v>0</v>
      </c>
      <c r="I147" s="614">
        <f t="shared" si="23"/>
        <v>0</v>
      </c>
      <c r="J147" s="478">
        <f t="shared" si="25"/>
        <v>0</v>
      </c>
      <c r="K147" s="478"/>
      <c r="L147" s="487"/>
      <c r="M147" s="478">
        <f t="shared" si="26"/>
        <v>0</v>
      </c>
      <c r="N147" s="487"/>
      <c r="O147" s="478">
        <f t="shared" si="27"/>
        <v>0</v>
      </c>
      <c r="P147" s="478">
        <f t="shared" si="28"/>
        <v>0</v>
      </c>
    </row>
    <row r="148" spans="2:16" ht="12.5">
      <c r="B148" s="160" t="str">
        <f t="shared" si="18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613">
        <f t="shared" si="22"/>
        <v>0</v>
      </c>
      <c r="I148" s="614">
        <f t="shared" si="23"/>
        <v>0</v>
      </c>
      <c r="J148" s="478">
        <f t="shared" si="25"/>
        <v>0</v>
      </c>
      <c r="K148" s="478"/>
      <c r="L148" s="487"/>
      <c r="M148" s="478">
        <f t="shared" si="26"/>
        <v>0</v>
      </c>
      <c r="N148" s="487"/>
      <c r="O148" s="478">
        <f t="shared" si="27"/>
        <v>0</v>
      </c>
      <c r="P148" s="478">
        <f t="shared" si="28"/>
        <v>0</v>
      </c>
    </row>
    <row r="149" spans="2:16" ht="12.5">
      <c r="B149" s="160" t="str">
        <f t="shared" si="18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613">
        <f t="shared" si="22"/>
        <v>0</v>
      </c>
      <c r="I149" s="614">
        <f t="shared" si="23"/>
        <v>0</v>
      </c>
      <c r="J149" s="478">
        <f t="shared" si="25"/>
        <v>0</v>
      </c>
      <c r="K149" s="478"/>
      <c r="L149" s="487"/>
      <c r="M149" s="478">
        <f t="shared" si="26"/>
        <v>0</v>
      </c>
      <c r="N149" s="487"/>
      <c r="O149" s="478">
        <f t="shared" si="27"/>
        <v>0</v>
      </c>
      <c r="P149" s="478">
        <f t="shared" si="28"/>
        <v>0</v>
      </c>
    </row>
    <row r="150" spans="2:16" ht="12.5">
      <c r="B150" s="160" t="str">
        <f t="shared" si="18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613">
        <f t="shared" si="22"/>
        <v>0</v>
      </c>
      <c r="I150" s="614">
        <f t="shared" si="23"/>
        <v>0</v>
      </c>
      <c r="J150" s="478">
        <f t="shared" si="25"/>
        <v>0</v>
      </c>
      <c r="K150" s="478"/>
      <c r="L150" s="487"/>
      <c r="M150" s="478">
        <f t="shared" si="26"/>
        <v>0</v>
      </c>
      <c r="N150" s="487"/>
      <c r="O150" s="478">
        <f t="shared" si="27"/>
        <v>0</v>
      </c>
      <c r="P150" s="478">
        <f t="shared" si="28"/>
        <v>0</v>
      </c>
    </row>
    <row r="151" spans="2:16" ht="12.5">
      <c r="B151" s="160" t="str">
        <f t="shared" si="18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613">
        <f t="shared" si="22"/>
        <v>0</v>
      </c>
      <c r="I151" s="614">
        <f t="shared" si="23"/>
        <v>0</v>
      </c>
      <c r="J151" s="478">
        <f t="shared" si="25"/>
        <v>0</v>
      </c>
      <c r="K151" s="478"/>
      <c r="L151" s="487"/>
      <c r="M151" s="478">
        <f t="shared" si="26"/>
        <v>0</v>
      </c>
      <c r="N151" s="487"/>
      <c r="O151" s="478">
        <f t="shared" si="27"/>
        <v>0</v>
      </c>
      <c r="P151" s="478">
        <f t="shared" si="28"/>
        <v>0</v>
      </c>
    </row>
    <row r="152" spans="2:16" ht="12.5">
      <c r="B152" s="160" t="str">
        <f t="shared" si="18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613">
        <f t="shared" si="22"/>
        <v>0</v>
      </c>
      <c r="I152" s="614">
        <f t="shared" si="23"/>
        <v>0</v>
      </c>
      <c r="J152" s="478">
        <f t="shared" si="25"/>
        <v>0</v>
      </c>
      <c r="K152" s="478"/>
      <c r="L152" s="487"/>
      <c r="M152" s="478">
        <f t="shared" si="26"/>
        <v>0</v>
      </c>
      <c r="N152" s="487"/>
      <c r="O152" s="478">
        <f t="shared" si="27"/>
        <v>0</v>
      </c>
      <c r="P152" s="478">
        <f t="shared" si="28"/>
        <v>0</v>
      </c>
    </row>
    <row r="153" spans="2:16" ht="12.5">
      <c r="B153" s="160" t="str">
        <f t="shared" si="18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613">
        <f t="shared" si="22"/>
        <v>0</v>
      </c>
      <c r="I153" s="614">
        <f t="shared" si="23"/>
        <v>0</v>
      </c>
      <c r="J153" s="478">
        <f t="shared" si="25"/>
        <v>0</v>
      </c>
      <c r="K153" s="478"/>
      <c r="L153" s="487"/>
      <c r="M153" s="478">
        <f t="shared" si="26"/>
        <v>0</v>
      </c>
      <c r="N153" s="487"/>
      <c r="O153" s="478">
        <f t="shared" si="27"/>
        <v>0</v>
      </c>
      <c r="P153" s="478">
        <f t="shared" si="28"/>
        <v>0</v>
      </c>
    </row>
    <row r="154" spans="2:16" ht="13" thickBot="1">
      <c r="B154" s="160" t="str">
        <f t="shared" si="18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5">
        <f t="shared" si="22"/>
        <v>0</v>
      </c>
      <c r="I154" s="616">
        <f t="shared" si="23"/>
        <v>0</v>
      </c>
      <c r="J154" s="495">
        <f t="shared" si="25"/>
        <v>0</v>
      </c>
      <c r="K154" s="478"/>
      <c r="L154" s="494"/>
      <c r="M154" s="495">
        <f t="shared" si="26"/>
        <v>0</v>
      </c>
      <c r="N154" s="494"/>
      <c r="O154" s="495">
        <f t="shared" si="27"/>
        <v>0</v>
      </c>
      <c r="P154" s="495">
        <f t="shared" si="28"/>
        <v>0</v>
      </c>
    </row>
    <row r="155" spans="2:16" ht="12.5">
      <c r="C155" s="346" t="s">
        <v>77</v>
      </c>
      <c r="D155" s="347"/>
      <c r="E155" s="347">
        <f>SUM(E99:E154)</f>
        <v>288860</v>
      </c>
      <c r="F155" s="347"/>
      <c r="G155" s="347"/>
      <c r="H155" s="347">
        <f>SUM(H99:H154)</f>
        <v>960737.2663553711</v>
      </c>
      <c r="I155" s="347">
        <f>SUM(I99:I154)</f>
        <v>960737.2663553711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2"/>
  <sheetViews>
    <sheetView zoomScale="86" zoomScaleNormal="86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26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1099277.167336459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1099277.167336459</v>
      </c>
      <c r="O6" s="232"/>
      <c r="P6" s="232"/>
    </row>
    <row r="7" spans="1:16" ht="13.5" thickBot="1">
      <c r="C7" s="431" t="s">
        <v>46</v>
      </c>
      <c r="D7" s="104" t="s">
        <v>332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334</v>
      </c>
      <c r="E9" s="623" t="s">
        <v>341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8147276.8700000001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208904.53512820514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2019</v>
      </c>
      <c r="D17" s="584">
        <v>0</v>
      </c>
      <c r="E17" s="585">
        <v>0</v>
      </c>
      <c r="F17" s="584">
        <v>5024000</v>
      </c>
      <c r="G17" s="585">
        <v>280481.45781944925</v>
      </c>
      <c r="H17" s="587">
        <v>280481.45781944925</v>
      </c>
      <c r="I17" s="475">
        <f>H17-G17</f>
        <v>0</v>
      </c>
      <c r="J17" s="475"/>
      <c r="K17" s="554">
        <f>+G17</f>
        <v>280481.45781944925</v>
      </c>
      <c r="L17" s="477">
        <f t="shared" ref="L17:L18" si="0">IF(K17&lt;&gt;0,+G17-K17,0)</f>
        <v>0</v>
      </c>
      <c r="M17" s="554">
        <f>+H17</f>
        <v>280481.45781944925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2020</v>
      </c>
      <c r="D18" s="584">
        <v>7156000</v>
      </c>
      <c r="E18" s="585">
        <v>170380.95238095237</v>
      </c>
      <c r="F18" s="584">
        <v>6985619.0476190476</v>
      </c>
      <c r="G18" s="585">
        <v>934062.15757277235</v>
      </c>
      <c r="H18" s="587">
        <v>934062.15757277235</v>
      </c>
      <c r="I18" s="475">
        <f>H18-G18</f>
        <v>0</v>
      </c>
      <c r="J18" s="475"/>
      <c r="K18" s="478">
        <f>+G18</f>
        <v>934062.15757277235</v>
      </c>
      <c r="L18" s="478">
        <f t="shared" si="0"/>
        <v>0</v>
      </c>
      <c r="M18" s="478">
        <f>+H18</f>
        <v>934062.15757277235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2021</v>
      </c>
      <c r="D19" s="584">
        <v>9239264.0476190485</v>
      </c>
      <c r="E19" s="585">
        <v>218828.95348837209</v>
      </c>
      <c r="F19" s="584">
        <v>9020435.0941306762</v>
      </c>
      <c r="G19" s="585">
        <v>1203224.4158022963</v>
      </c>
      <c r="H19" s="587">
        <v>1203224.4158022963</v>
      </c>
      <c r="I19" s="475">
        <f t="shared" ref="I19:I71" si="3">H19-G19</f>
        <v>0</v>
      </c>
      <c r="J19" s="475"/>
      <c r="K19" s="478">
        <f>+G19</f>
        <v>1203224.4158022963</v>
      </c>
      <c r="L19" s="478">
        <f t="shared" ref="L19" si="4">IF(K19&lt;&gt;0,+G19-K19,0)</f>
        <v>0</v>
      </c>
      <c r="M19" s="478">
        <f>+H19</f>
        <v>1203224.4158022963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2022</v>
      </c>
      <c r="D20" s="584">
        <v>7758491.0941306753</v>
      </c>
      <c r="E20" s="585">
        <v>193992.88095238095</v>
      </c>
      <c r="F20" s="584">
        <v>7564498.2131782947</v>
      </c>
      <c r="G20" s="585">
        <v>1019988.1643084703</v>
      </c>
      <c r="H20" s="587">
        <v>1019988.1643084703</v>
      </c>
      <c r="I20" s="475">
        <f t="shared" si="3"/>
        <v>0</v>
      </c>
      <c r="J20" s="475"/>
      <c r="K20" s="478">
        <f>+G20</f>
        <v>1019988.1643084703</v>
      </c>
      <c r="L20" s="478">
        <f t="shared" ref="L20" si="6">IF(K20&lt;&gt;0,+G20-K20,0)</f>
        <v>0</v>
      </c>
      <c r="M20" s="478">
        <f>+H20</f>
        <v>1019988.1643084703</v>
      </c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2023</v>
      </c>
      <c r="D21" s="483">
        <f>IF(F20+SUM(E$17:E20)=D$10,F20,D$10-SUM(E$17:E20))</f>
        <v>7564074.0831782948</v>
      </c>
      <c r="E21" s="484">
        <f t="shared" ref="E21:E71" si="7">IF(+I$14&lt;F20,I$14,D21)</f>
        <v>208904.53512820514</v>
      </c>
      <c r="F21" s="485">
        <f t="shared" ref="F21:F71" si="8">+D21-E21</f>
        <v>7355169.5480500897</v>
      </c>
      <c r="G21" s="486">
        <f t="shared" ref="G21:G71" si="9">(D21+F21)/2*I$12+E21</f>
        <v>1099277.167336459</v>
      </c>
      <c r="H21" s="455">
        <f t="shared" ref="H21:H71" si="10">+(D21+F21)/2*I$13+E21</f>
        <v>1099277.167336459</v>
      </c>
      <c r="I21" s="475">
        <f t="shared" si="3"/>
        <v>0</v>
      </c>
      <c r="J21" s="475"/>
      <c r="K21" s="487"/>
      <c r="L21" s="478">
        <f t="shared" ref="L21:L72" si="11">IF(K21&lt;&gt;0,+G21-K21,0)</f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7355169.5480500897</v>
      </c>
      <c r="E22" s="484">
        <f t="shared" si="7"/>
        <v>208904.53512820514</v>
      </c>
      <c r="F22" s="485">
        <f t="shared" si="8"/>
        <v>7146265.0129218847</v>
      </c>
      <c r="G22" s="486">
        <f t="shared" si="9"/>
        <v>1074342.5412361107</v>
      </c>
      <c r="H22" s="455">
        <f t="shared" si="10"/>
        <v>1074342.5412361107</v>
      </c>
      <c r="I22" s="475">
        <f t="shared" si="3"/>
        <v>0</v>
      </c>
      <c r="J22" s="475"/>
      <c r="K22" s="487"/>
      <c r="L22" s="478">
        <f t="shared" si="11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7146265.0129218847</v>
      </c>
      <c r="E23" s="484">
        <f t="shared" si="7"/>
        <v>208904.53512820514</v>
      </c>
      <c r="F23" s="485">
        <f t="shared" si="8"/>
        <v>6937360.4777936796</v>
      </c>
      <c r="G23" s="486">
        <f t="shared" si="9"/>
        <v>1049407.9151357622</v>
      </c>
      <c r="H23" s="455">
        <f t="shared" si="10"/>
        <v>1049407.9151357622</v>
      </c>
      <c r="I23" s="475">
        <f t="shared" si="3"/>
        <v>0</v>
      </c>
      <c r="J23" s="475"/>
      <c r="K23" s="487"/>
      <c r="L23" s="478">
        <f t="shared" si="11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6937360.4777936796</v>
      </c>
      <c r="E24" s="484">
        <f t="shared" si="7"/>
        <v>208904.53512820514</v>
      </c>
      <c r="F24" s="485">
        <f t="shared" si="8"/>
        <v>6728455.9426654745</v>
      </c>
      <c r="G24" s="486">
        <f t="shared" si="9"/>
        <v>1024473.2890354141</v>
      </c>
      <c r="H24" s="455">
        <f t="shared" si="10"/>
        <v>1024473.2890354141</v>
      </c>
      <c r="I24" s="475">
        <f t="shared" si="3"/>
        <v>0</v>
      </c>
      <c r="J24" s="475"/>
      <c r="K24" s="487"/>
      <c r="L24" s="478">
        <f t="shared" si="11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6728455.9426654745</v>
      </c>
      <c r="E25" s="484">
        <f t="shared" si="7"/>
        <v>208904.53512820514</v>
      </c>
      <c r="F25" s="485">
        <f t="shared" si="8"/>
        <v>6519551.4075372694</v>
      </c>
      <c r="G25" s="486">
        <f t="shared" si="9"/>
        <v>999538.66293506557</v>
      </c>
      <c r="H25" s="455">
        <f t="shared" si="10"/>
        <v>999538.66293506557</v>
      </c>
      <c r="I25" s="475">
        <f t="shared" si="3"/>
        <v>0</v>
      </c>
      <c r="J25" s="475"/>
      <c r="K25" s="487"/>
      <c r="L25" s="478">
        <f t="shared" si="11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6519551.4075372694</v>
      </c>
      <c r="E26" s="484">
        <f t="shared" si="7"/>
        <v>208904.53512820514</v>
      </c>
      <c r="F26" s="485">
        <f t="shared" si="8"/>
        <v>6310646.8724090643</v>
      </c>
      <c r="G26" s="486">
        <f t="shared" si="9"/>
        <v>974604.03683471726</v>
      </c>
      <c r="H26" s="455">
        <f t="shared" si="10"/>
        <v>974604.03683471726</v>
      </c>
      <c r="I26" s="475">
        <f t="shared" si="3"/>
        <v>0</v>
      </c>
      <c r="J26" s="475"/>
      <c r="K26" s="487"/>
      <c r="L26" s="478">
        <f t="shared" si="11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6310646.8724090643</v>
      </c>
      <c r="E27" s="484">
        <f t="shared" si="7"/>
        <v>208904.53512820514</v>
      </c>
      <c r="F27" s="485">
        <f t="shared" si="8"/>
        <v>6101742.3372808592</v>
      </c>
      <c r="G27" s="486">
        <f t="shared" si="9"/>
        <v>949669.41073436895</v>
      </c>
      <c r="H27" s="455">
        <f t="shared" si="10"/>
        <v>949669.41073436895</v>
      </c>
      <c r="I27" s="475">
        <f t="shared" si="3"/>
        <v>0</v>
      </c>
      <c r="J27" s="475"/>
      <c r="K27" s="487"/>
      <c r="L27" s="478">
        <f t="shared" si="11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6101742.3372808592</v>
      </c>
      <c r="E28" s="484">
        <f t="shared" si="7"/>
        <v>208904.53512820514</v>
      </c>
      <c r="F28" s="485">
        <f t="shared" si="8"/>
        <v>5892837.8021526542</v>
      </c>
      <c r="G28" s="486">
        <f t="shared" si="9"/>
        <v>924734.78463402065</v>
      </c>
      <c r="H28" s="455">
        <f t="shared" si="10"/>
        <v>924734.78463402065</v>
      </c>
      <c r="I28" s="475">
        <f t="shared" si="3"/>
        <v>0</v>
      </c>
      <c r="J28" s="475"/>
      <c r="K28" s="487"/>
      <c r="L28" s="478">
        <f t="shared" si="11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5892837.8021526542</v>
      </c>
      <c r="E29" s="484">
        <f t="shared" si="7"/>
        <v>208904.53512820514</v>
      </c>
      <c r="F29" s="485">
        <f t="shared" si="8"/>
        <v>5683933.2670244491</v>
      </c>
      <c r="G29" s="486">
        <f t="shared" si="9"/>
        <v>899800.1585336721</v>
      </c>
      <c r="H29" s="455">
        <f t="shared" si="10"/>
        <v>899800.1585336721</v>
      </c>
      <c r="I29" s="475">
        <f t="shared" si="3"/>
        <v>0</v>
      </c>
      <c r="J29" s="475"/>
      <c r="K29" s="487"/>
      <c r="L29" s="478">
        <f t="shared" si="11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5683933.2670244491</v>
      </c>
      <c r="E30" s="484">
        <f t="shared" si="7"/>
        <v>208904.53512820514</v>
      </c>
      <c r="F30" s="485">
        <f t="shared" si="8"/>
        <v>5475028.731896244</v>
      </c>
      <c r="G30" s="486">
        <f t="shared" si="9"/>
        <v>874865.53243332379</v>
      </c>
      <c r="H30" s="455">
        <f t="shared" si="10"/>
        <v>874865.53243332379</v>
      </c>
      <c r="I30" s="475">
        <f t="shared" si="3"/>
        <v>0</v>
      </c>
      <c r="J30" s="475"/>
      <c r="K30" s="487"/>
      <c r="L30" s="478">
        <f t="shared" si="11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5475028.731896244</v>
      </c>
      <c r="E31" s="484">
        <f t="shared" si="7"/>
        <v>208904.53512820514</v>
      </c>
      <c r="F31" s="485">
        <f t="shared" si="8"/>
        <v>5266124.1967680389</v>
      </c>
      <c r="G31" s="486">
        <f t="shared" si="9"/>
        <v>849930.90633297549</v>
      </c>
      <c r="H31" s="455">
        <f t="shared" si="10"/>
        <v>849930.90633297549</v>
      </c>
      <c r="I31" s="475">
        <f t="shared" si="3"/>
        <v>0</v>
      </c>
      <c r="J31" s="475"/>
      <c r="K31" s="487"/>
      <c r="L31" s="478">
        <f t="shared" si="11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5266124.1967680389</v>
      </c>
      <c r="E32" s="484">
        <f t="shared" si="7"/>
        <v>208904.53512820514</v>
      </c>
      <c r="F32" s="485">
        <f t="shared" si="8"/>
        <v>5057219.6616398338</v>
      </c>
      <c r="G32" s="486">
        <f t="shared" si="9"/>
        <v>824996.28023262718</v>
      </c>
      <c r="H32" s="455">
        <f t="shared" si="10"/>
        <v>824996.28023262718</v>
      </c>
      <c r="I32" s="475">
        <f t="shared" si="3"/>
        <v>0</v>
      </c>
      <c r="J32" s="475"/>
      <c r="K32" s="487"/>
      <c r="L32" s="478">
        <f t="shared" si="11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5057219.6616398338</v>
      </c>
      <c r="E33" s="484">
        <f t="shared" si="7"/>
        <v>208904.53512820514</v>
      </c>
      <c r="F33" s="485">
        <f t="shared" si="8"/>
        <v>4848315.1265116287</v>
      </c>
      <c r="G33" s="486">
        <f t="shared" si="9"/>
        <v>800061.65413227864</v>
      </c>
      <c r="H33" s="455">
        <f t="shared" si="10"/>
        <v>800061.65413227864</v>
      </c>
      <c r="I33" s="475">
        <f t="shared" si="3"/>
        <v>0</v>
      </c>
      <c r="J33" s="475"/>
      <c r="K33" s="487"/>
      <c r="L33" s="478">
        <f t="shared" si="11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4848315.1265116287</v>
      </c>
      <c r="E34" s="484">
        <f t="shared" si="7"/>
        <v>208904.53512820514</v>
      </c>
      <c r="F34" s="485">
        <f t="shared" si="8"/>
        <v>4639410.5913834237</v>
      </c>
      <c r="G34" s="486">
        <f t="shared" si="9"/>
        <v>775127.02803193056</v>
      </c>
      <c r="H34" s="455">
        <f t="shared" si="10"/>
        <v>775127.02803193056</v>
      </c>
      <c r="I34" s="475">
        <f t="shared" si="3"/>
        <v>0</v>
      </c>
      <c r="J34" s="475"/>
      <c r="K34" s="487"/>
      <c r="L34" s="478">
        <f t="shared" si="11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4639410.5913834237</v>
      </c>
      <c r="E35" s="484">
        <f t="shared" si="7"/>
        <v>208904.53512820514</v>
      </c>
      <c r="F35" s="485">
        <f t="shared" si="8"/>
        <v>4430506.0562552186</v>
      </c>
      <c r="G35" s="486">
        <f t="shared" si="9"/>
        <v>750192.40193158202</v>
      </c>
      <c r="H35" s="455">
        <f t="shared" si="10"/>
        <v>750192.40193158202</v>
      </c>
      <c r="I35" s="475">
        <f t="shared" si="3"/>
        <v>0</v>
      </c>
      <c r="J35" s="475"/>
      <c r="K35" s="487"/>
      <c r="L35" s="478">
        <f t="shared" si="11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4430506.0562552186</v>
      </c>
      <c r="E36" s="484">
        <f t="shared" si="7"/>
        <v>208904.53512820514</v>
      </c>
      <c r="F36" s="485">
        <f t="shared" si="8"/>
        <v>4221601.5211270135</v>
      </c>
      <c r="G36" s="486">
        <f t="shared" si="9"/>
        <v>725257.77583123371</v>
      </c>
      <c r="H36" s="455">
        <f t="shared" si="10"/>
        <v>725257.77583123371</v>
      </c>
      <c r="I36" s="475">
        <f t="shared" si="3"/>
        <v>0</v>
      </c>
      <c r="J36" s="475"/>
      <c r="K36" s="487"/>
      <c r="L36" s="478">
        <f t="shared" si="11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4221601.5211270135</v>
      </c>
      <c r="E37" s="484">
        <f t="shared" si="7"/>
        <v>208904.53512820514</v>
      </c>
      <c r="F37" s="485">
        <f t="shared" si="8"/>
        <v>4012696.9859988084</v>
      </c>
      <c r="G37" s="486">
        <f t="shared" si="9"/>
        <v>700323.1497308854</v>
      </c>
      <c r="H37" s="455">
        <f t="shared" si="10"/>
        <v>700323.1497308854</v>
      </c>
      <c r="I37" s="475">
        <f t="shared" si="3"/>
        <v>0</v>
      </c>
      <c r="J37" s="475"/>
      <c r="K37" s="487"/>
      <c r="L37" s="478">
        <f t="shared" si="11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4012696.9859988084</v>
      </c>
      <c r="E38" s="484">
        <f t="shared" si="7"/>
        <v>208904.53512820514</v>
      </c>
      <c r="F38" s="485">
        <f t="shared" si="8"/>
        <v>3803792.4508706033</v>
      </c>
      <c r="G38" s="486">
        <f t="shared" si="9"/>
        <v>675388.52363053709</v>
      </c>
      <c r="H38" s="455">
        <f t="shared" si="10"/>
        <v>675388.52363053709</v>
      </c>
      <c r="I38" s="475">
        <f t="shared" si="3"/>
        <v>0</v>
      </c>
      <c r="J38" s="475"/>
      <c r="K38" s="487"/>
      <c r="L38" s="478">
        <f t="shared" si="11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3803792.4508706033</v>
      </c>
      <c r="E39" s="484">
        <f t="shared" si="7"/>
        <v>208904.53512820514</v>
      </c>
      <c r="F39" s="485">
        <f t="shared" si="8"/>
        <v>3594887.9157423982</v>
      </c>
      <c r="G39" s="486">
        <f t="shared" si="9"/>
        <v>650453.89753018867</v>
      </c>
      <c r="H39" s="455">
        <f t="shared" si="10"/>
        <v>650453.89753018867</v>
      </c>
      <c r="I39" s="475">
        <f t="shared" si="3"/>
        <v>0</v>
      </c>
      <c r="J39" s="475"/>
      <c r="K39" s="487"/>
      <c r="L39" s="478">
        <f t="shared" si="11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3594887.9157423982</v>
      </c>
      <c r="E40" s="484">
        <f t="shared" si="7"/>
        <v>208904.53512820514</v>
      </c>
      <c r="F40" s="485">
        <f t="shared" si="8"/>
        <v>3385983.3806141932</v>
      </c>
      <c r="G40" s="486">
        <f t="shared" si="9"/>
        <v>625519.27142984036</v>
      </c>
      <c r="H40" s="455">
        <f t="shared" si="10"/>
        <v>625519.27142984036</v>
      </c>
      <c r="I40" s="475">
        <f t="shared" si="3"/>
        <v>0</v>
      </c>
      <c r="J40" s="475"/>
      <c r="K40" s="487"/>
      <c r="L40" s="478">
        <f t="shared" si="11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3385983.3806141932</v>
      </c>
      <c r="E41" s="484">
        <f t="shared" si="7"/>
        <v>208904.53512820514</v>
      </c>
      <c r="F41" s="485">
        <f t="shared" si="8"/>
        <v>3177078.8454859881</v>
      </c>
      <c r="G41" s="486">
        <f t="shared" si="9"/>
        <v>600584.64532949193</v>
      </c>
      <c r="H41" s="455">
        <f t="shared" si="10"/>
        <v>600584.64532949193</v>
      </c>
      <c r="I41" s="475">
        <f t="shared" si="3"/>
        <v>0</v>
      </c>
      <c r="J41" s="475"/>
      <c r="K41" s="487"/>
      <c r="L41" s="478">
        <f t="shared" si="11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3177078.8454859881</v>
      </c>
      <c r="E42" s="484">
        <f t="shared" si="7"/>
        <v>208904.53512820514</v>
      </c>
      <c r="F42" s="485">
        <f t="shared" si="8"/>
        <v>2968174.310357783</v>
      </c>
      <c r="G42" s="486">
        <f t="shared" si="9"/>
        <v>575650.01922914363</v>
      </c>
      <c r="H42" s="455">
        <f t="shared" si="10"/>
        <v>575650.01922914363</v>
      </c>
      <c r="I42" s="475">
        <f t="shared" si="3"/>
        <v>0</v>
      </c>
      <c r="J42" s="475"/>
      <c r="K42" s="487"/>
      <c r="L42" s="478">
        <f t="shared" si="11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2968174.310357783</v>
      </c>
      <c r="E43" s="484">
        <f t="shared" si="7"/>
        <v>208904.53512820514</v>
      </c>
      <c r="F43" s="485">
        <f t="shared" si="8"/>
        <v>2759269.7752295779</v>
      </c>
      <c r="G43" s="486">
        <f t="shared" si="9"/>
        <v>550715.39312879532</v>
      </c>
      <c r="H43" s="455">
        <f t="shared" si="10"/>
        <v>550715.39312879532</v>
      </c>
      <c r="I43" s="475">
        <f t="shared" si="3"/>
        <v>0</v>
      </c>
      <c r="J43" s="475"/>
      <c r="K43" s="487"/>
      <c r="L43" s="478">
        <f t="shared" si="11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2759269.7752295779</v>
      </c>
      <c r="E44" s="484">
        <f t="shared" si="7"/>
        <v>208904.53512820514</v>
      </c>
      <c r="F44" s="485">
        <f t="shared" si="8"/>
        <v>2550365.2401013728</v>
      </c>
      <c r="G44" s="486">
        <f t="shared" si="9"/>
        <v>525780.76702844701</v>
      </c>
      <c r="H44" s="455">
        <f t="shared" si="10"/>
        <v>525780.76702844701</v>
      </c>
      <c r="I44" s="475">
        <f t="shared" si="3"/>
        <v>0</v>
      </c>
      <c r="J44" s="475"/>
      <c r="K44" s="487"/>
      <c r="L44" s="478">
        <f t="shared" si="11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2550365.2401013728</v>
      </c>
      <c r="E45" s="484">
        <f t="shared" si="7"/>
        <v>208904.53512820514</v>
      </c>
      <c r="F45" s="485">
        <f t="shared" si="8"/>
        <v>2341460.7049731677</v>
      </c>
      <c r="G45" s="486">
        <f t="shared" si="9"/>
        <v>500846.14092809858</v>
      </c>
      <c r="H45" s="455">
        <f t="shared" si="10"/>
        <v>500846.14092809858</v>
      </c>
      <c r="I45" s="475">
        <f t="shared" si="3"/>
        <v>0</v>
      </c>
      <c r="J45" s="475"/>
      <c r="K45" s="487"/>
      <c r="L45" s="478">
        <f t="shared" si="11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2341460.7049731677</v>
      </c>
      <c r="E46" s="484">
        <f t="shared" si="7"/>
        <v>208904.53512820514</v>
      </c>
      <c r="F46" s="485">
        <f t="shared" si="8"/>
        <v>2132556.1698449627</v>
      </c>
      <c r="G46" s="486">
        <f t="shared" si="9"/>
        <v>475911.51482775022</v>
      </c>
      <c r="H46" s="455">
        <f t="shared" si="10"/>
        <v>475911.51482775022</v>
      </c>
      <c r="I46" s="475">
        <f t="shared" si="3"/>
        <v>0</v>
      </c>
      <c r="J46" s="475"/>
      <c r="K46" s="487"/>
      <c r="L46" s="478">
        <f t="shared" si="11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2132556.1698449627</v>
      </c>
      <c r="E47" s="484">
        <f t="shared" si="7"/>
        <v>208904.53512820514</v>
      </c>
      <c r="F47" s="485">
        <f t="shared" si="8"/>
        <v>1923651.6347167576</v>
      </c>
      <c r="G47" s="486">
        <f t="shared" si="9"/>
        <v>450976.88872740185</v>
      </c>
      <c r="H47" s="455">
        <f t="shared" si="10"/>
        <v>450976.88872740185</v>
      </c>
      <c r="I47" s="475">
        <f t="shared" si="3"/>
        <v>0</v>
      </c>
      <c r="J47" s="475"/>
      <c r="K47" s="487"/>
      <c r="L47" s="478">
        <f t="shared" si="11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1923651.6347167576</v>
      </c>
      <c r="E48" s="484">
        <f t="shared" si="7"/>
        <v>208904.53512820514</v>
      </c>
      <c r="F48" s="485">
        <f t="shared" si="8"/>
        <v>1714747.0995885525</v>
      </c>
      <c r="G48" s="486">
        <f t="shared" si="9"/>
        <v>426042.26262705354</v>
      </c>
      <c r="H48" s="455">
        <f t="shared" si="10"/>
        <v>426042.26262705354</v>
      </c>
      <c r="I48" s="475">
        <f t="shared" si="3"/>
        <v>0</v>
      </c>
      <c r="J48" s="475"/>
      <c r="K48" s="487"/>
      <c r="L48" s="478">
        <f t="shared" si="11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1714747.0995885525</v>
      </c>
      <c r="E49" s="484">
        <f t="shared" si="7"/>
        <v>208904.53512820514</v>
      </c>
      <c r="F49" s="485">
        <f t="shared" si="8"/>
        <v>1505842.5644603474</v>
      </c>
      <c r="G49" s="486">
        <f t="shared" si="9"/>
        <v>401107.63652670517</v>
      </c>
      <c r="H49" s="455">
        <f t="shared" si="10"/>
        <v>401107.63652670517</v>
      </c>
      <c r="I49" s="475">
        <f t="shared" si="3"/>
        <v>0</v>
      </c>
      <c r="J49" s="475"/>
      <c r="K49" s="487"/>
      <c r="L49" s="478">
        <f t="shared" si="11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1505842.5644603474</v>
      </c>
      <c r="E50" s="484">
        <f t="shared" si="7"/>
        <v>208904.53512820514</v>
      </c>
      <c r="F50" s="485">
        <f t="shared" si="8"/>
        <v>1296938.0293321423</v>
      </c>
      <c r="G50" s="486">
        <f t="shared" si="9"/>
        <v>376173.01042635681</v>
      </c>
      <c r="H50" s="455">
        <f t="shared" si="10"/>
        <v>376173.01042635681</v>
      </c>
      <c r="I50" s="475">
        <f t="shared" si="3"/>
        <v>0</v>
      </c>
      <c r="J50" s="475"/>
      <c r="K50" s="487"/>
      <c r="L50" s="478">
        <f t="shared" si="11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1296938.0293321423</v>
      </c>
      <c r="E51" s="484">
        <f t="shared" si="7"/>
        <v>208904.53512820514</v>
      </c>
      <c r="F51" s="485">
        <f t="shared" si="8"/>
        <v>1088033.4942039372</v>
      </c>
      <c r="G51" s="486">
        <f t="shared" si="9"/>
        <v>351238.3843260085</v>
      </c>
      <c r="H51" s="455">
        <f t="shared" si="10"/>
        <v>351238.3843260085</v>
      </c>
      <c r="I51" s="475">
        <f t="shared" si="3"/>
        <v>0</v>
      </c>
      <c r="J51" s="475"/>
      <c r="K51" s="487"/>
      <c r="L51" s="478">
        <f t="shared" si="11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1088033.4942039372</v>
      </c>
      <c r="E52" s="484">
        <f t="shared" si="7"/>
        <v>208904.53512820514</v>
      </c>
      <c r="F52" s="485">
        <f t="shared" si="8"/>
        <v>879128.95907573216</v>
      </c>
      <c r="G52" s="486">
        <f t="shared" si="9"/>
        <v>326303.75822566013</v>
      </c>
      <c r="H52" s="455">
        <f t="shared" si="10"/>
        <v>326303.75822566013</v>
      </c>
      <c r="I52" s="475">
        <f t="shared" si="3"/>
        <v>0</v>
      </c>
      <c r="J52" s="475"/>
      <c r="K52" s="487"/>
      <c r="L52" s="478">
        <f t="shared" si="11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879128.95907573216</v>
      </c>
      <c r="E53" s="484">
        <f t="shared" si="7"/>
        <v>208904.53512820514</v>
      </c>
      <c r="F53" s="485">
        <f t="shared" si="8"/>
        <v>670224.42394752707</v>
      </c>
      <c r="G53" s="486">
        <f t="shared" si="9"/>
        <v>301369.13212531176</v>
      </c>
      <c r="H53" s="455">
        <f t="shared" si="10"/>
        <v>301369.13212531176</v>
      </c>
      <c r="I53" s="475">
        <f t="shared" si="3"/>
        <v>0</v>
      </c>
      <c r="J53" s="475"/>
      <c r="K53" s="487"/>
      <c r="L53" s="478">
        <f t="shared" si="11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670224.42394752707</v>
      </c>
      <c r="E54" s="484">
        <f t="shared" si="7"/>
        <v>208904.53512820514</v>
      </c>
      <c r="F54" s="485">
        <f t="shared" si="8"/>
        <v>461319.88881932193</v>
      </c>
      <c r="G54" s="486">
        <f t="shared" si="9"/>
        <v>276434.5060249634</v>
      </c>
      <c r="H54" s="455">
        <f t="shared" si="10"/>
        <v>276434.5060249634</v>
      </c>
      <c r="I54" s="475">
        <f t="shared" si="3"/>
        <v>0</v>
      </c>
      <c r="J54" s="475"/>
      <c r="K54" s="487"/>
      <c r="L54" s="478">
        <f t="shared" si="11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461319.88881932193</v>
      </c>
      <c r="E55" s="484">
        <f t="shared" si="7"/>
        <v>208904.53512820514</v>
      </c>
      <c r="F55" s="485">
        <f t="shared" si="8"/>
        <v>252415.35369111679</v>
      </c>
      <c r="G55" s="486">
        <f t="shared" si="9"/>
        <v>251499.87992461506</v>
      </c>
      <c r="H55" s="455">
        <f t="shared" si="10"/>
        <v>251499.87992461506</v>
      </c>
      <c r="I55" s="475">
        <f t="shared" si="3"/>
        <v>0</v>
      </c>
      <c r="J55" s="475"/>
      <c r="K55" s="487"/>
      <c r="L55" s="478">
        <f t="shared" si="11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252415.35369111679</v>
      </c>
      <c r="E56" s="484">
        <f t="shared" si="7"/>
        <v>208904.53512820514</v>
      </c>
      <c r="F56" s="485">
        <f t="shared" si="8"/>
        <v>43510.818562911649</v>
      </c>
      <c r="G56" s="486">
        <f t="shared" si="9"/>
        <v>226565.25382426669</v>
      </c>
      <c r="H56" s="455">
        <f t="shared" si="10"/>
        <v>226565.25382426669</v>
      </c>
      <c r="I56" s="475">
        <f t="shared" si="3"/>
        <v>0</v>
      </c>
      <c r="J56" s="475"/>
      <c r="K56" s="487"/>
      <c r="L56" s="478">
        <f t="shared" si="11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43510.818562911649</v>
      </c>
      <c r="E57" s="484">
        <f t="shared" si="7"/>
        <v>43510.818562911649</v>
      </c>
      <c r="F57" s="485">
        <f t="shared" si="8"/>
        <v>0</v>
      </c>
      <c r="G57" s="486">
        <f t="shared" si="9"/>
        <v>46107.52138585534</v>
      </c>
      <c r="H57" s="455">
        <f t="shared" si="10"/>
        <v>46107.52138585534</v>
      </c>
      <c r="I57" s="475">
        <f t="shared" si="3"/>
        <v>0</v>
      </c>
      <c r="J57" s="475"/>
      <c r="K57" s="487"/>
      <c r="L57" s="478">
        <f t="shared" si="11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0</v>
      </c>
      <c r="E58" s="484">
        <f t="shared" si="7"/>
        <v>0</v>
      </c>
      <c r="F58" s="485">
        <f t="shared" si="8"/>
        <v>0</v>
      </c>
      <c r="G58" s="486">
        <f t="shared" si="9"/>
        <v>0</v>
      </c>
      <c r="H58" s="455">
        <f t="shared" si="10"/>
        <v>0</v>
      </c>
      <c r="I58" s="475">
        <f t="shared" si="3"/>
        <v>0</v>
      </c>
      <c r="J58" s="475"/>
      <c r="K58" s="487"/>
      <c r="L58" s="478">
        <f t="shared" si="11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0</v>
      </c>
      <c r="E59" s="484">
        <f t="shared" si="7"/>
        <v>0</v>
      </c>
      <c r="F59" s="485">
        <f t="shared" si="8"/>
        <v>0</v>
      </c>
      <c r="G59" s="486">
        <f t="shared" si="9"/>
        <v>0</v>
      </c>
      <c r="H59" s="455">
        <f t="shared" si="10"/>
        <v>0</v>
      </c>
      <c r="I59" s="475">
        <f t="shared" si="3"/>
        <v>0</v>
      </c>
      <c r="J59" s="475"/>
      <c r="K59" s="487"/>
      <c r="L59" s="478">
        <f t="shared" si="11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11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11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11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11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11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11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11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11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11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11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11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11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1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8147276.870000001</v>
      </c>
      <c r="F73" s="347"/>
      <c r="G73" s="347">
        <f>SUM(G17:G72)</f>
        <v>27349027.2977819</v>
      </c>
      <c r="H73" s="347">
        <f>SUM(H17:H72)</f>
        <v>27349027.2977819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26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1203224.4158022963</v>
      </c>
      <c r="N87" s="508">
        <f>IF(J92&lt;D11,0,VLOOKUP(J92,C17:O72,11))</f>
        <v>1203224.4158022963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1093013.4811459687</v>
      </c>
      <c r="N88" s="512">
        <f>IF(J92&lt;D11,0,VLOOKUP(J92,C99:P154,7))</f>
        <v>1093013.4811459687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- E. 61st St 138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-110210.93465632759</v>
      </c>
      <c r="N89" s="517">
        <f>+N88-N87</f>
        <v>-110210.93465632759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TP2017011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8147701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198724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2019</v>
      </c>
      <c r="D99" s="584">
        <v>0</v>
      </c>
      <c r="E99" s="608">
        <v>0</v>
      </c>
      <c r="F99" s="584">
        <v>6388896</v>
      </c>
      <c r="G99" s="608">
        <v>3194448</v>
      </c>
      <c r="H99" s="587">
        <v>329392.39438521734</v>
      </c>
      <c r="I99" s="607">
        <v>329392.39438521734</v>
      </c>
      <c r="J99" s="478">
        <f>+I99-H99</f>
        <v>0</v>
      </c>
      <c r="K99" s="478"/>
      <c r="L99" s="477">
        <f>+H99</f>
        <v>329392.39438521734</v>
      </c>
      <c r="M99" s="477">
        <f t="shared" ref="M99" si="12">IF(L99&lt;&gt;0,+H99-L99,0)</f>
        <v>0</v>
      </c>
      <c r="N99" s="477">
        <f>+I99</f>
        <v>329392.39438521734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2020</v>
      </c>
      <c r="D100" s="578">
        <v>8144614</v>
      </c>
      <c r="E100" s="579">
        <v>189410</v>
      </c>
      <c r="F100" s="578">
        <v>7955204</v>
      </c>
      <c r="G100" s="579">
        <v>8049909</v>
      </c>
      <c r="H100" s="602">
        <v>1117542.3763000495</v>
      </c>
      <c r="I100" s="578">
        <v>1117542.3763000495</v>
      </c>
      <c r="J100" s="478">
        <f t="shared" ref="J100:J130" si="15">+I100-H100</f>
        <v>0</v>
      </c>
      <c r="K100" s="478"/>
      <c r="L100" s="476">
        <f>H100</f>
        <v>1117542.3763000495</v>
      </c>
      <c r="M100" s="348">
        <f>IF(L100&lt;&gt;0,+H100-L100,0)</f>
        <v>0</v>
      </c>
      <c r="N100" s="476">
        <f>I100</f>
        <v>1117542.3763000495</v>
      </c>
      <c r="O100" s="478">
        <f t="shared" si="13"/>
        <v>0</v>
      </c>
      <c r="P100" s="478">
        <f t="shared" si="14"/>
        <v>0</v>
      </c>
    </row>
    <row r="101" spans="1:16" ht="12.5">
      <c r="B101" s="160" t="str">
        <f t="shared" ref="B101:B154" si="16">IF(D101=F100,"","IU")</f>
        <v>IU</v>
      </c>
      <c r="C101" s="472">
        <f>IF(D93="","-",+C100+1)</f>
        <v>2021</v>
      </c>
      <c r="D101" s="346">
        <f>IF(F100+SUM(E$99:E100)=D$92,F100,D$92-SUM(E$99:E100))</f>
        <v>7958291</v>
      </c>
      <c r="E101" s="484">
        <f t="shared" ref="E101:E154" si="17">IF(+J$96&lt;F100,J$96,D101)</f>
        <v>198724</v>
      </c>
      <c r="F101" s="485">
        <f t="shared" ref="F101:F154" si="18">+D101-E101</f>
        <v>7759567</v>
      </c>
      <c r="G101" s="485">
        <f t="shared" ref="G101:G154" si="19">+(F101+D101)/2</f>
        <v>7858929</v>
      </c>
      <c r="H101" s="613">
        <f t="shared" ref="H101:H154" si="20">+J$94*G101+E101</f>
        <v>1093013.4811459687</v>
      </c>
      <c r="I101" s="614">
        <f t="shared" ref="I101:I154" si="21">+J$95*G101+E101</f>
        <v>1093013.4811459687</v>
      </c>
      <c r="J101" s="478">
        <f t="shared" si="15"/>
        <v>0</v>
      </c>
      <c r="K101" s="478"/>
      <c r="L101" s="487"/>
      <c r="M101" s="478">
        <f t="shared" ref="M101:M130" si="22">IF(L101&lt;&gt;0,+H101-L101,0)</f>
        <v>0</v>
      </c>
      <c r="N101" s="487"/>
      <c r="O101" s="478">
        <f t="shared" si="13"/>
        <v>0</v>
      </c>
      <c r="P101" s="478">
        <f t="shared" si="14"/>
        <v>0</v>
      </c>
    </row>
    <row r="102" spans="1:16" ht="12.5">
      <c r="B102" s="160" t="str">
        <f t="shared" si="16"/>
        <v/>
      </c>
      <c r="C102" s="472">
        <f>IF(D93="","-",+C101+1)</f>
        <v>2022</v>
      </c>
      <c r="D102" s="346">
        <f>IF(F101+SUM(E$99:E101)=D$92,F101,D$92-SUM(E$99:E101))</f>
        <v>7759567</v>
      </c>
      <c r="E102" s="484">
        <f t="shared" si="17"/>
        <v>198724</v>
      </c>
      <c r="F102" s="485">
        <f t="shared" si="18"/>
        <v>7560843</v>
      </c>
      <c r="G102" s="485">
        <f t="shared" si="19"/>
        <v>7660205</v>
      </c>
      <c r="H102" s="613">
        <f t="shared" si="20"/>
        <v>1070400.1221435843</v>
      </c>
      <c r="I102" s="614">
        <f t="shared" si="21"/>
        <v>1070400.1221435843</v>
      </c>
      <c r="J102" s="478">
        <f t="shared" si="15"/>
        <v>0</v>
      </c>
      <c r="K102" s="478"/>
      <c r="L102" s="487"/>
      <c r="M102" s="478">
        <f t="shared" si="22"/>
        <v>0</v>
      </c>
      <c r="N102" s="487"/>
      <c r="O102" s="478">
        <f t="shared" si="13"/>
        <v>0</v>
      </c>
      <c r="P102" s="478">
        <f t="shared" si="14"/>
        <v>0</v>
      </c>
    </row>
    <row r="103" spans="1:16" ht="12.5">
      <c r="B103" s="160" t="str">
        <f t="shared" si="16"/>
        <v/>
      </c>
      <c r="C103" s="472">
        <f>IF(D93="","-",+C102+1)</f>
        <v>2023</v>
      </c>
      <c r="D103" s="346">
        <f>IF(F102+SUM(E$99:E102)=D$92,F102,D$92-SUM(E$99:E102))</f>
        <v>7560843</v>
      </c>
      <c r="E103" s="484">
        <f t="shared" si="17"/>
        <v>198724</v>
      </c>
      <c r="F103" s="485">
        <f t="shared" si="18"/>
        <v>7362119</v>
      </c>
      <c r="G103" s="485">
        <f t="shared" si="19"/>
        <v>7461481</v>
      </c>
      <c r="H103" s="613">
        <f t="shared" si="20"/>
        <v>1047786.7631411996</v>
      </c>
      <c r="I103" s="614">
        <f t="shared" si="21"/>
        <v>1047786.7631411996</v>
      </c>
      <c r="J103" s="478">
        <f t="shared" si="15"/>
        <v>0</v>
      </c>
      <c r="K103" s="478"/>
      <c r="L103" s="487"/>
      <c r="M103" s="478">
        <f t="shared" si="2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16"/>
        <v/>
      </c>
      <c r="C104" s="472">
        <f>IF(D93="","-",+C103+1)</f>
        <v>2024</v>
      </c>
      <c r="D104" s="346">
        <f>IF(F103+SUM(E$99:E103)=D$92,F103,D$92-SUM(E$99:E103))</f>
        <v>7362119</v>
      </c>
      <c r="E104" s="484">
        <f t="shared" si="17"/>
        <v>198724</v>
      </c>
      <c r="F104" s="485">
        <f t="shared" si="18"/>
        <v>7163395</v>
      </c>
      <c r="G104" s="485">
        <f t="shared" si="19"/>
        <v>7262757</v>
      </c>
      <c r="H104" s="613">
        <f t="shared" si="20"/>
        <v>1025173.404138815</v>
      </c>
      <c r="I104" s="614">
        <f t="shared" si="21"/>
        <v>1025173.404138815</v>
      </c>
      <c r="J104" s="478">
        <f t="shared" si="15"/>
        <v>0</v>
      </c>
      <c r="K104" s="478"/>
      <c r="L104" s="487"/>
      <c r="M104" s="478">
        <f t="shared" si="2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16"/>
        <v/>
      </c>
      <c r="C105" s="472">
        <f>IF(D93="","-",+C104+1)</f>
        <v>2025</v>
      </c>
      <c r="D105" s="346">
        <f>IF(F104+SUM(E$99:E104)=D$92,F104,D$92-SUM(E$99:E104))</f>
        <v>7163395</v>
      </c>
      <c r="E105" s="484">
        <f t="shared" si="17"/>
        <v>198724</v>
      </c>
      <c r="F105" s="485">
        <f t="shared" si="18"/>
        <v>6964671</v>
      </c>
      <c r="G105" s="485">
        <f t="shared" si="19"/>
        <v>7064033</v>
      </c>
      <c r="H105" s="613">
        <f t="shared" si="20"/>
        <v>1002560.0451364304</v>
      </c>
      <c r="I105" s="614">
        <f t="shared" si="21"/>
        <v>1002560.0451364304</v>
      </c>
      <c r="J105" s="478">
        <f t="shared" si="15"/>
        <v>0</v>
      </c>
      <c r="K105" s="478"/>
      <c r="L105" s="487"/>
      <c r="M105" s="478">
        <f t="shared" si="2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16"/>
        <v/>
      </c>
      <c r="C106" s="472">
        <f>IF(D93="","-",+C105+1)</f>
        <v>2026</v>
      </c>
      <c r="D106" s="346">
        <f>IF(F105+SUM(E$99:E105)=D$92,F105,D$92-SUM(E$99:E105))</f>
        <v>6964671</v>
      </c>
      <c r="E106" s="484">
        <f t="shared" si="17"/>
        <v>198724</v>
      </c>
      <c r="F106" s="485">
        <f t="shared" si="18"/>
        <v>6765947</v>
      </c>
      <c r="G106" s="485">
        <f t="shared" si="19"/>
        <v>6865309</v>
      </c>
      <c r="H106" s="613">
        <f t="shared" si="20"/>
        <v>979946.68613404571</v>
      </c>
      <c r="I106" s="614">
        <f t="shared" si="21"/>
        <v>979946.68613404571</v>
      </c>
      <c r="J106" s="478">
        <f t="shared" si="15"/>
        <v>0</v>
      </c>
      <c r="K106" s="478"/>
      <c r="L106" s="487"/>
      <c r="M106" s="478">
        <f t="shared" si="2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16"/>
        <v/>
      </c>
      <c r="C107" s="472">
        <f>IF(D93="","-",+C106+1)</f>
        <v>2027</v>
      </c>
      <c r="D107" s="346">
        <f>IF(F106+SUM(E$99:E106)=D$92,F106,D$92-SUM(E$99:E106))</f>
        <v>6765947</v>
      </c>
      <c r="E107" s="484">
        <f t="shared" si="17"/>
        <v>198724</v>
      </c>
      <c r="F107" s="485">
        <f t="shared" si="18"/>
        <v>6567223</v>
      </c>
      <c r="G107" s="485">
        <f t="shared" si="19"/>
        <v>6666585</v>
      </c>
      <c r="H107" s="613">
        <f t="shared" si="20"/>
        <v>957333.32713166112</v>
      </c>
      <c r="I107" s="614">
        <f t="shared" si="21"/>
        <v>957333.32713166112</v>
      </c>
      <c r="J107" s="478">
        <f t="shared" si="15"/>
        <v>0</v>
      </c>
      <c r="K107" s="478"/>
      <c r="L107" s="487"/>
      <c r="M107" s="478">
        <f t="shared" si="2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16"/>
        <v/>
      </c>
      <c r="C108" s="472">
        <f>IF(D93="","-",+C107+1)</f>
        <v>2028</v>
      </c>
      <c r="D108" s="346">
        <f>IF(F107+SUM(E$99:E107)=D$92,F107,D$92-SUM(E$99:E107))</f>
        <v>6567223</v>
      </c>
      <c r="E108" s="484">
        <f t="shared" si="17"/>
        <v>198724</v>
      </c>
      <c r="F108" s="485">
        <f t="shared" si="18"/>
        <v>6368499</v>
      </c>
      <c r="G108" s="485">
        <f t="shared" si="19"/>
        <v>6467861</v>
      </c>
      <c r="H108" s="613">
        <f t="shared" si="20"/>
        <v>934719.96812927653</v>
      </c>
      <c r="I108" s="614">
        <f t="shared" si="21"/>
        <v>934719.96812927653</v>
      </c>
      <c r="J108" s="478">
        <f t="shared" si="15"/>
        <v>0</v>
      </c>
      <c r="K108" s="478"/>
      <c r="L108" s="487"/>
      <c r="M108" s="478">
        <f t="shared" si="2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16"/>
        <v/>
      </c>
      <c r="C109" s="472">
        <f>IF(D93="","-",+C108+1)</f>
        <v>2029</v>
      </c>
      <c r="D109" s="346">
        <f>IF(F108+SUM(E$99:E108)=D$92,F108,D$92-SUM(E$99:E108))</f>
        <v>6368499</v>
      </c>
      <c r="E109" s="484">
        <f t="shared" si="17"/>
        <v>198724</v>
      </c>
      <c r="F109" s="485">
        <f t="shared" si="18"/>
        <v>6169775</v>
      </c>
      <c r="G109" s="485">
        <f t="shared" si="19"/>
        <v>6269137</v>
      </c>
      <c r="H109" s="613">
        <f t="shared" si="20"/>
        <v>912106.60912689194</v>
      </c>
      <c r="I109" s="614">
        <f t="shared" si="21"/>
        <v>912106.60912689194</v>
      </c>
      <c r="J109" s="478">
        <f t="shared" si="15"/>
        <v>0</v>
      </c>
      <c r="K109" s="478"/>
      <c r="L109" s="487"/>
      <c r="M109" s="478">
        <f t="shared" si="2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16"/>
        <v/>
      </c>
      <c r="C110" s="472">
        <f>IF(D93="","-",+C109+1)</f>
        <v>2030</v>
      </c>
      <c r="D110" s="346">
        <f>IF(F109+SUM(E$99:E109)=D$92,F109,D$92-SUM(E$99:E109))</f>
        <v>6169775</v>
      </c>
      <c r="E110" s="484">
        <f t="shared" si="17"/>
        <v>198724</v>
      </c>
      <c r="F110" s="485">
        <f t="shared" si="18"/>
        <v>5971051</v>
      </c>
      <c r="G110" s="485">
        <f t="shared" si="19"/>
        <v>6070413</v>
      </c>
      <c r="H110" s="613">
        <f t="shared" si="20"/>
        <v>889493.25012450735</v>
      </c>
      <c r="I110" s="614">
        <f t="shared" si="21"/>
        <v>889493.25012450735</v>
      </c>
      <c r="J110" s="478">
        <f t="shared" si="15"/>
        <v>0</v>
      </c>
      <c r="K110" s="478"/>
      <c r="L110" s="487"/>
      <c r="M110" s="478">
        <f t="shared" si="2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16"/>
        <v/>
      </c>
      <c r="C111" s="472">
        <f>IF(D93="","-",+C110+1)</f>
        <v>2031</v>
      </c>
      <c r="D111" s="346">
        <f>IF(F110+SUM(E$99:E110)=D$92,F110,D$92-SUM(E$99:E110))</f>
        <v>5971051</v>
      </c>
      <c r="E111" s="484">
        <f t="shared" si="17"/>
        <v>198724</v>
      </c>
      <c r="F111" s="485">
        <f t="shared" si="18"/>
        <v>5772327</v>
      </c>
      <c r="G111" s="485">
        <f t="shared" si="19"/>
        <v>5871689</v>
      </c>
      <c r="H111" s="613">
        <f t="shared" si="20"/>
        <v>866879.89112212264</v>
      </c>
      <c r="I111" s="614">
        <f t="shared" si="21"/>
        <v>866879.89112212264</v>
      </c>
      <c r="J111" s="478">
        <f t="shared" si="15"/>
        <v>0</v>
      </c>
      <c r="K111" s="478"/>
      <c r="L111" s="487"/>
      <c r="M111" s="478">
        <f t="shared" si="2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16"/>
        <v/>
      </c>
      <c r="C112" s="472">
        <f>IF(D93="","-",+C111+1)</f>
        <v>2032</v>
      </c>
      <c r="D112" s="346">
        <f>IF(F111+SUM(E$99:E111)=D$92,F111,D$92-SUM(E$99:E111))</f>
        <v>5772327</v>
      </c>
      <c r="E112" s="484">
        <f t="shared" si="17"/>
        <v>198724</v>
      </c>
      <c r="F112" s="485">
        <f t="shared" si="18"/>
        <v>5573603</v>
      </c>
      <c r="G112" s="485">
        <f t="shared" si="19"/>
        <v>5672965</v>
      </c>
      <c r="H112" s="613">
        <f t="shared" si="20"/>
        <v>844266.53211973805</v>
      </c>
      <c r="I112" s="614">
        <f t="shared" si="21"/>
        <v>844266.53211973805</v>
      </c>
      <c r="J112" s="478">
        <f t="shared" si="15"/>
        <v>0</v>
      </c>
      <c r="K112" s="478"/>
      <c r="L112" s="487"/>
      <c r="M112" s="478">
        <f t="shared" si="2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16"/>
        <v/>
      </c>
      <c r="C113" s="472">
        <f>IF(D93="","-",+C112+1)</f>
        <v>2033</v>
      </c>
      <c r="D113" s="346">
        <f>IF(F112+SUM(E$99:E112)=D$92,F112,D$92-SUM(E$99:E112))</f>
        <v>5573603</v>
      </c>
      <c r="E113" s="484">
        <f t="shared" si="17"/>
        <v>198724</v>
      </c>
      <c r="F113" s="485">
        <f t="shared" si="18"/>
        <v>5374879</v>
      </c>
      <c r="G113" s="485">
        <f t="shared" si="19"/>
        <v>5474241</v>
      </c>
      <c r="H113" s="613">
        <f t="shared" si="20"/>
        <v>821653.17311735346</v>
      </c>
      <c r="I113" s="614">
        <f t="shared" si="21"/>
        <v>821653.17311735346</v>
      </c>
      <c r="J113" s="478">
        <f t="shared" si="15"/>
        <v>0</v>
      </c>
      <c r="K113" s="478"/>
      <c r="L113" s="487"/>
      <c r="M113" s="478">
        <f t="shared" si="2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16"/>
        <v/>
      </c>
      <c r="C114" s="472">
        <f>IF(D93="","-",+C113+1)</f>
        <v>2034</v>
      </c>
      <c r="D114" s="346">
        <f>IF(F113+SUM(E$99:E113)=D$92,F113,D$92-SUM(E$99:E113))</f>
        <v>5374879</v>
      </c>
      <c r="E114" s="484">
        <f t="shared" si="17"/>
        <v>198724</v>
      </c>
      <c r="F114" s="485">
        <f t="shared" si="18"/>
        <v>5176155</v>
      </c>
      <c r="G114" s="485">
        <f t="shared" si="19"/>
        <v>5275517</v>
      </c>
      <c r="H114" s="613">
        <f t="shared" si="20"/>
        <v>799039.81411496887</v>
      </c>
      <c r="I114" s="614">
        <f t="shared" si="21"/>
        <v>799039.81411496887</v>
      </c>
      <c r="J114" s="478">
        <f t="shared" si="15"/>
        <v>0</v>
      </c>
      <c r="K114" s="478"/>
      <c r="L114" s="487"/>
      <c r="M114" s="478">
        <f t="shared" si="2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16"/>
        <v/>
      </c>
      <c r="C115" s="472">
        <f>IF(D93="","-",+C114+1)</f>
        <v>2035</v>
      </c>
      <c r="D115" s="346">
        <f>IF(F114+SUM(E$99:E114)=D$92,F114,D$92-SUM(E$99:E114))</f>
        <v>5176155</v>
      </c>
      <c r="E115" s="484">
        <f t="shared" si="17"/>
        <v>198724</v>
      </c>
      <c r="F115" s="485">
        <f t="shared" si="18"/>
        <v>4977431</v>
      </c>
      <c r="G115" s="485">
        <f t="shared" si="19"/>
        <v>5076793</v>
      </c>
      <c r="H115" s="613">
        <f t="shared" si="20"/>
        <v>776426.45511258428</v>
      </c>
      <c r="I115" s="614">
        <f t="shared" si="21"/>
        <v>776426.45511258428</v>
      </c>
      <c r="J115" s="478">
        <f t="shared" si="15"/>
        <v>0</v>
      </c>
      <c r="K115" s="478"/>
      <c r="L115" s="487"/>
      <c r="M115" s="478">
        <f t="shared" si="2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16"/>
        <v/>
      </c>
      <c r="C116" s="472">
        <f>IF(D93="","-",+C115+1)</f>
        <v>2036</v>
      </c>
      <c r="D116" s="346">
        <f>IF(F115+SUM(E$99:E115)=D$92,F115,D$92-SUM(E$99:E115))</f>
        <v>4977431</v>
      </c>
      <c r="E116" s="484">
        <f t="shared" si="17"/>
        <v>198724</v>
      </c>
      <c r="F116" s="485">
        <f t="shared" si="18"/>
        <v>4778707</v>
      </c>
      <c r="G116" s="485">
        <f t="shared" si="19"/>
        <v>4878069</v>
      </c>
      <c r="H116" s="613">
        <f t="shared" si="20"/>
        <v>753813.09611019958</v>
      </c>
      <c r="I116" s="614">
        <f t="shared" si="21"/>
        <v>753813.09611019958</v>
      </c>
      <c r="J116" s="478">
        <f t="shared" si="15"/>
        <v>0</v>
      </c>
      <c r="K116" s="478"/>
      <c r="L116" s="487"/>
      <c r="M116" s="478">
        <f t="shared" si="2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16"/>
        <v/>
      </c>
      <c r="C117" s="472">
        <f>IF(D93="","-",+C116+1)</f>
        <v>2037</v>
      </c>
      <c r="D117" s="346">
        <f>IF(F116+SUM(E$99:E116)=D$92,F116,D$92-SUM(E$99:E116))</f>
        <v>4778707</v>
      </c>
      <c r="E117" s="484">
        <f t="shared" si="17"/>
        <v>198724</v>
      </c>
      <c r="F117" s="485">
        <f t="shared" si="18"/>
        <v>4579983</v>
      </c>
      <c r="G117" s="485">
        <f t="shared" si="19"/>
        <v>4679345</v>
      </c>
      <c r="H117" s="613">
        <f t="shared" si="20"/>
        <v>731199.73710781499</v>
      </c>
      <c r="I117" s="614">
        <f t="shared" si="21"/>
        <v>731199.73710781499</v>
      </c>
      <c r="J117" s="478">
        <f t="shared" si="15"/>
        <v>0</v>
      </c>
      <c r="K117" s="478"/>
      <c r="L117" s="487"/>
      <c r="M117" s="478">
        <f t="shared" si="2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16"/>
        <v/>
      </c>
      <c r="C118" s="472">
        <f>IF(D93="","-",+C117+1)</f>
        <v>2038</v>
      </c>
      <c r="D118" s="346">
        <f>IF(F117+SUM(E$99:E117)=D$92,F117,D$92-SUM(E$99:E117))</f>
        <v>4579983</v>
      </c>
      <c r="E118" s="484">
        <f t="shared" si="17"/>
        <v>198724</v>
      </c>
      <c r="F118" s="485">
        <f t="shared" si="18"/>
        <v>4381259</v>
      </c>
      <c r="G118" s="485">
        <f t="shared" si="19"/>
        <v>4480621</v>
      </c>
      <c r="H118" s="613">
        <f t="shared" si="20"/>
        <v>708586.3781054304</v>
      </c>
      <c r="I118" s="614">
        <f t="shared" si="21"/>
        <v>708586.3781054304</v>
      </c>
      <c r="J118" s="478">
        <f t="shared" si="15"/>
        <v>0</v>
      </c>
      <c r="K118" s="478"/>
      <c r="L118" s="487"/>
      <c r="M118" s="478">
        <f t="shared" si="2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16"/>
        <v/>
      </c>
      <c r="C119" s="472">
        <f>IF(D93="","-",+C118+1)</f>
        <v>2039</v>
      </c>
      <c r="D119" s="346">
        <f>IF(F118+SUM(E$99:E118)=D$92,F118,D$92-SUM(E$99:E118))</f>
        <v>4381259</v>
      </c>
      <c r="E119" s="484">
        <f t="shared" si="17"/>
        <v>198724</v>
      </c>
      <c r="F119" s="485">
        <f t="shared" si="18"/>
        <v>4182535</v>
      </c>
      <c r="G119" s="485">
        <f t="shared" si="19"/>
        <v>4281897</v>
      </c>
      <c r="H119" s="613">
        <f t="shared" si="20"/>
        <v>685973.01910304581</v>
      </c>
      <c r="I119" s="614">
        <f t="shared" si="21"/>
        <v>685973.01910304581</v>
      </c>
      <c r="J119" s="478">
        <f t="shared" si="15"/>
        <v>0</v>
      </c>
      <c r="K119" s="478"/>
      <c r="L119" s="487"/>
      <c r="M119" s="478">
        <f t="shared" si="2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16"/>
        <v/>
      </c>
      <c r="C120" s="472">
        <f>IF(D93="","-",+C119+1)</f>
        <v>2040</v>
      </c>
      <c r="D120" s="346">
        <f>IF(F119+SUM(E$99:E119)=D$92,F119,D$92-SUM(E$99:E119))</f>
        <v>4182535</v>
      </c>
      <c r="E120" s="484">
        <f t="shared" si="17"/>
        <v>198724</v>
      </c>
      <c r="F120" s="485">
        <f t="shared" si="18"/>
        <v>3983811</v>
      </c>
      <c r="G120" s="485">
        <f t="shared" si="19"/>
        <v>4083173</v>
      </c>
      <c r="H120" s="613">
        <f t="shared" si="20"/>
        <v>663359.66010066122</v>
      </c>
      <c r="I120" s="614">
        <f t="shared" si="21"/>
        <v>663359.66010066122</v>
      </c>
      <c r="J120" s="478">
        <f t="shared" si="15"/>
        <v>0</v>
      </c>
      <c r="K120" s="478"/>
      <c r="L120" s="487"/>
      <c r="M120" s="478">
        <f t="shared" si="2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16"/>
        <v/>
      </c>
      <c r="C121" s="472">
        <f>IF(D93="","-",+C120+1)</f>
        <v>2041</v>
      </c>
      <c r="D121" s="346">
        <f>IF(F120+SUM(E$99:E120)=D$92,F120,D$92-SUM(E$99:E120))</f>
        <v>3983811</v>
      </c>
      <c r="E121" s="484">
        <f t="shared" si="17"/>
        <v>198724</v>
      </c>
      <c r="F121" s="485">
        <f t="shared" si="18"/>
        <v>3785087</v>
      </c>
      <c r="G121" s="485">
        <f t="shared" si="19"/>
        <v>3884449</v>
      </c>
      <c r="H121" s="613">
        <f t="shared" si="20"/>
        <v>640746.30109827663</v>
      </c>
      <c r="I121" s="614">
        <f t="shared" si="21"/>
        <v>640746.30109827663</v>
      </c>
      <c r="J121" s="478">
        <f t="shared" si="15"/>
        <v>0</v>
      </c>
      <c r="K121" s="478"/>
      <c r="L121" s="487"/>
      <c r="M121" s="478">
        <f t="shared" si="2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16"/>
        <v/>
      </c>
      <c r="C122" s="472">
        <f>IF(D93="","-",+C121+1)</f>
        <v>2042</v>
      </c>
      <c r="D122" s="346">
        <f>IF(F121+SUM(E$99:E121)=D$92,F121,D$92-SUM(E$99:E121))</f>
        <v>3785087</v>
      </c>
      <c r="E122" s="484">
        <f t="shared" si="17"/>
        <v>198724</v>
      </c>
      <c r="F122" s="485">
        <f t="shared" si="18"/>
        <v>3586363</v>
      </c>
      <c r="G122" s="485">
        <f t="shared" si="19"/>
        <v>3685725</v>
      </c>
      <c r="H122" s="613">
        <f t="shared" si="20"/>
        <v>618132.94209589192</v>
      </c>
      <c r="I122" s="614">
        <f t="shared" si="21"/>
        <v>618132.94209589192</v>
      </c>
      <c r="J122" s="478">
        <f t="shared" si="15"/>
        <v>0</v>
      </c>
      <c r="K122" s="478"/>
      <c r="L122" s="487"/>
      <c r="M122" s="478">
        <f t="shared" si="2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16"/>
        <v/>
      </c>
      <c r="C123" s="472">
        <f>IF(D93="","-",+C122+1)</f>
        <v>2043</v>
      </c>
      <c r="D123" s="346">
        <f>IF(F122+SUM(E$99:E122)=D$92,F122,D$92-SUM(E$99:E122))</f>
        <v>3586363</v>
      </c>
      <c r="E123" s="484">
        <f t="shared" si="17"/>
        <v>198724</v>
      </c>
      <c r="F123" s="485">
        <f t="shared" si="18"/>
        <v>3387639</v>
      </c>
      <c r="G123" s="485">
        <f t="shared" si="19"/>
        <v>3487001</v>
      </c>
      <c r="H123" s="613">
        <f t="shared" si="20"/>
        <v>595519.58309350733</v>
      </c>
      <c r="I123" s="614">
        <f t="shared" si="21"/>
        <v>595519.58309350733</v>
      </c>
      <c r="J123" s="478">
        <f t="shared" si="15"/>
        <v>0</v>
      </c>
      <c r="K123" s="478"/>
      <c r="L123" s="487"/>
      <c r="M123" s="478">
        <f t="shared" si="2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16"/>
        <v/>
      </c>
      <c r="C124" s="472">
        <f>IF(D93="","-",+C123+1)</f>
        <v>2044</v>
      </c>
      <c r="D124" s="346">
        <f>IF(F123+SUM(E$99:E123)=D$92,F123,D$92-SUM(E$99:E123))</f>
        <v>3387639</v>
      </c>
      <c r="E124" s="484">
        <f t="shared" si="17"/>
        <v>198724</v>
      </c>
      <c r="F124" s="485">
        <f t="shared" si="18"/>
        <v>3188915</v>
      </c>
      <c r="G124" s="485">
        <f t="shared" si="19"/>
        <v>3288277</v>
      </c>
      <c r="H124" s="613">
        <f t="shared" si="20"/>
        <v>572906.22409112274</v>
      </c>
      <c r="I124" s="614">
        <f t="shared" si="21"/>
        <v>572906.22409112274</v>
      </c>
      <c r="J124" s="478">
        <f t="shared" si="15"/>
        <v>0</v>
      </c>
      <c r="K124" s="478"/>
      <c r="L124" s="487"/>
      <c r="M124" s="478">
        <f t="shared" si="2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16"/>
        <v/>
      </c>
      <c r="C125" s="472">
        <f>IF(D93="","-",+C124+1)</f>
        <v>2045</v>
      </c>
      <c r="D125" s="346">
        <f>IF(F124+SUM(E$99:E124)=D$92,F124,D$92-SUM(E$99:E124))</f>
        <v>3188915</v>
      </c>
      <c r="E125" s="484">
        <f t="shared" si="17"/>
        <v>198724</v>
      </c>
      <c r="F125" s="485">
        <f t="shared" si="18"/>
        <v>2990191</v>
      </c>
      <c r="G125" s="485">
        <f t="shared" si="19"/>
        <v>3089553</v>
      </c>
      <c r="H125" s="613">
        <f t="shared" si="20"/>
        <v>550292.86508873804</v>
      </c>
      <c r="I125" s="614">
        <f t="shared" si="21"/>
        <v>550292.86508873804</v>
      </c>
      <c r="J125" s="478">
        <f t="shared" si="15"/>
        <v>0</v>
      </c>
      <c r="K125" s="478"/>
      <c r="L125" s="487"/>
      <c r="M125" s="478">
        <f t="shared" si="2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16"/>
        <v/>
      </c>
      <c r="C126" s="472">
        <f>IF(D93="","-",+C125+1)</f>
        <v>2046</v>
      </c>
      <c r="D126" s="346">
        <f>IF(F125+SUM(E$99:E125)=D$92,F125,D$92-SUM(E$99:E125))</f>
        <v>2990191</v>
      </c>
      <c r="E126" s="484">
        <f t="shared" si="17"/>
        <v>198724</v>
      </c>
      <c r="F126" s="485">
        <f t="shared" si="18"/>
        <v>2791467</v>
      </c>
      <c r="G126" s="485">
        <f t="shared" si="19"/>
        <v>2890829</v>
      </c>
      <c r="H126" s="613">
        <f t="shared" si="20"/>
        <v>527679.50608635345</v>
      </c>
      <c r="I126" s="614">
        <f t="shared" si="21"/>
        <v>527679.50608635345</v>
      </c>
      <c r="J126" s="478">
        <f t="shared" si="15"/>
        <v>0</v>
      </c>
      <c r="K126" s="478"/>
      <c r="L126" s="487"/>
      <c r="M126" s="478">
        <f t="shared" si="2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16"/>
        <v/>
      </c>
      <c r="C127" s="472">
        <f>IF(D93="","-",+C126+1)</f>
        <v>2047</v>
      </c>
      <c r="D127" s="346">
        <f>IF(F126+SUM(E$99:E126)=D$92,F126,D$92-SUM(E$99:E126))</f>
        <v>2791467</v>
      </c>
      <c r="E127" s="484">
        <f t="shared" si="17"/>
        <v>198724</v>
      </c>
      <c r="F127" s="485">
        <f t="shared" si="18"/>
        <v>2592743</v>
      </c>
      <c r="G127" s="485">
        <f t="shared" si="19"/>
        <v>2692105</v>
      </c>
      <c r="H127" s="613">
        <f t="shared" si="20"/>
        <v>505066.14708396886</v>
      </c>
      <c r="I127" s="614">
        <f t="shared" si="21"/>
        <v>505066.14708396886</v>
      </c>
      <c r="J127" s="478">
        <f t="shared" si="15"/>
        <v>0</v>
      </c>
      <c r="K127" s="478"/>
      <c r="L127" s="487"/>
      <c r="M127" s="478">
        <f t="shared" si="2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16"/>
        <v/>
      </c>
      <c r="C128" s="472">
        <f>IF(D93="","-",+C127+1)</f>
        <v>2048</v>
      </c>
      <c r="D128" s="346">
        <f>IF(F127+SUM(E$99:E127)=D$92,F127,D$92-SUM(E$99:E127))</f>
        <v>2592743</v>
      </c>
      <c r="E128" s="484">
        <f t="shared" si="17"/>
        <v>198724</v>
      </c>
      <c r="F128" s="485">
        <f t="shared" si="18"/>
        <v>2394019</v>
      </c>
      <c r="G128" s="485">
        <f t="shared" si="19"/>
        <v>2493381</v>
      </c>
      <c r="H128" s="613">
        <f t="shared" si="20"/>
        <v>482452.78808158427</v>
      </c>
      <c r="I128" s="614">
        <f t="shared" si="21"/>
        <v>482452.78808158427</v>
      </c>
      <c r="J128" s="478">
        <f t="shared" si="15"/>
        <v>0</v>
      </c>
      <c r="K128" s="478"/>
      <c r="L128" s="487"/>
      <c r="M128" s="478">
        <f t="shared" si="2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16"/>
        <v/>
      </c>
      <c r="C129" s="472">
        <f>IF(D93="","-",+C128+1)</f>
        <v>2049</v>
      </c>
      <c r="D129" s="346">
        <f>IF(F128+SUM(E$99:E128)=D$92,F128,D$92-SUM(E$99:E128))</f>
        <v>2394019</v>
      </c>
      <c r="E129" s="484">
        <f t="shared" si="17"/>
        <v>198724</v>
      </c>
      <c r="F129" s="485">
        <f t="shared" si="18"/>
        <v>2195295</v>
      </c>
      <c r="G129" s="485">
        <f t="shared" si="19"/>
        <v>2294657</v>
      </c>
      <c r="H129" s="613">
        <f t="shared" si="20"/>
        <v>459839.42907919968</v>
      </c>
      <c r="I129" s="614">
        <f t="shared" si="21"/>
        <v>459839.42907919968</v>
      </c>
      <c r="J129" s="478">
        <f t="shared" si="15"/>
        <v>0</v>
      </c>
      <c r="K129" s="478"/>
      <c r="L129" s="487"/>
      <c r="M129" s="478">
        <f t="shared" si="2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16"/>
        <v/>
      </c>
      <c r="C130" s="472">
        <f>IF(D93="","-",+C129+1)</f>
        <v>2050</v>
      </c>
      <c r="D130" s="346">
        <f>IF(F129+SUM(E$99:E129)=D$92,F129,D$92-SUM(E$99:E129))</f>
        <v>2195295</v>
      </c>
      <c r="E130" s="484">
        <f t="shared" si="17"/>
        <v>198724</v>
      </c>
      <c r="F130" s="485">
        <f t="shared" si="18"/>
        <v>1996571</v>
      </c>
      <c r="G130" s="485">
        <f t="shared" si="19"/>
        <v>2095933</v>
      </c>
      <c r="H130" s="613">
        <f t="shared" si="20"/>
        <v>437226.07007681503</v>
      </c>
      <c r="I130" s="614">
        <f t="shared" si="21"/>
        <v>437226.07007681503</v>
      </c>
      <c r="J130" s="478">
        <f t="shared" si="15"/>
        <v>0</v>
      </c>
      <c r="K130" s="478"/>
      <c r="L130" s="487"/>
      <c r="M130" s="478">
        <f t="shared" si="2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16"/>
        <v/>
      </c>
      <c r="C131" s="472">
        <f>IF(D93="","-",+C130+1)</f>
        <v>2051</v>
      </c>
      <c r="D131" s="346">
        <f>IF(F130+SUM(E$99:E130)=D$92,F130,D$92-SUM(E$99:E130))</f>
        <v>1996571</v>
      </c>
      <c r="E131" s="484">
        <f t="shared" si="17"/>
        <v>198724</v>
      </c>
      <c r="F131" s="485">
        <f t="shared" si="18"/>
        <v>1797847</v>
      </c>
      <c r="G131" s="485">
        <f t="shared" si="19"/>
        <v>1897209</v>
      </c>
      <c r="H131" s="613">
        <f t="shared" si="20"/>
        <v>414612.71107443038</v>
      </c>
      <c r="I131" s="614">
        <f t="shared" si="21"/>
        <v>414612.71107443038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6"/>
        <v/>
      </c>
      <c r="C132" s="472">
        <f>IF(D93="","-",+C131+1)</f>
        <v>2052</v>
      </c>
      <c r="D132" s="346">
        <f>IF(F131+SUM(E$99:E131)=D$92,F131,D$92-SUM(E$99:E131))</f>
        <v>1797847</v>
      </c>
      <c r="E132" s="484">
        <f t="shared" si="17"/>
        <v>198724</v>
      </c>
      <c r="F132" s="485">
        <f t="shared" si="18"/>
        <v>1599123</v>
      </c>
      <c r="G132" s="485">
        <f t="shared" si="19"/>
        <v>1698485</v>
      </c>
      <c r="H132" s="613">
        <f t="shared" si="20"/>
        <v>391999.35207204579</v>
      </c>
      <c r="I132" s="614">
        <f t="shared" si="21"/>
        <v>391999.35207204579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6"/>
        <v/>
      </c>
      <c r="C133" s="472">
        <f>IF(D93="","-",+C132+1)</f>
        <v>2053</v>
      </c>
      <c r="D133" s="346">
        <f>IF(F132+SUM(E$99:E132)=D$92,F132,D$92-SUM(E$99:E132))</f>
        <v>1599123</v>
      </c>
      <c r="E133" s="484">
        <f t="shared" si="17"/>
        <v>198724</v>
      </c>
      <c r="F133" s="485">
        <f t="shared" si="18"/>
        <v>1400399</v>
      </c>
      <c r="G133" s="485">
        <f t="shared" si="19"/>
        <v>1499761</v>
      </c>
      <c r="H133" s="613">
        <f t="shared" si="20"/>
        <v>369385.9930696612</v>
      </c>
      <c r="I133" s="614">
        <f t="shared" si="21"/>
        <v>369385.9930696612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6"/>
        <v/>
      </c>
      <c r="C134" s="472">
        <f>IF(D93="","-",+C133+1)</f>
        <v>2054</v>
      </c>
      <c r="D134" s="346">
        <f>IF(F133+SUM(E$99:E133)=D$92,F133,D$92-SUM(E$99:E133))</f>
        <v>1400399</v>
      </c>
      <c r="E134" s="484">
        <f t="shared" si="17"/>
        <v>198724</v>
      </c>
      <c r="F134" s="485">
        <f t="shared" si="18"/>
        <v>1201675</v>
      </c>
      <c r="G134" s="485">
        <f t="shared" si="19"/>
        <v>1301037</v>
      </c>
      <c r="H134" s="613">
        <f t="shared" si="20"/>
        <v>346772.63406727661</v>
      </c>
      <c r="I134" s="614">
        <f t="shared" si="21"/>
        <v>346772.63406727661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6"/>
        <v/>
      </c>
      <c r="C135" s="472">
        <f>IF(D93="","-",+C134+1)</f>
        <v>2055</v>
      </c>
      <c r="D135" s="346">
        <f>IF(F134+SUM(E$99:E134)=D$92,F134,D$92-SUM(E$99:E134))</f>
        <v>1201675</v>
      </c>
      <c r="E135" s="484">
        <f t="shared" si="17"/>
        <v>198724</v>
      </c>
      <c r="F135" s="485">
        <f t="shared" si="18"/>
        <v>1002951</v>
      </c>
      <c r="G135" s="485">
        <f t="shared" si="19"/>
        <v>1102313</v>
      </c>
      <c r="H135" s="613">
        <f t="shared" si="20"/>
        <v>324159.27506489196</v>
      </c>
      <c r="I135" s="614">
        <f t="shared" si="21"/>
        <v>324159.27506489196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6"/>
        <v/>
      </c>
      <c r="C136" s="472">
        <f>IF(D93="","-",+C135+1)</f>
        <v>2056</v>
      </c>
      <c r="D136" s="346">
        <f>IF(F135+SUM(E$99:E135)=D$92,F135,D$92-SUM(E$99:E135))</f>
        <v>1002951</v>
      </c>
      <c r="E136" s="484">
        <f t="shared" si="17"/>
        <v>198724</v>
      </c>
      <c r="F136" s="485">
        <f t="shared" si="18"/>
        <v>804227</v>
      </c>
      <c r="G136" s="485">
        <f t="shared" si="19"/>
        <v>903589</v>
      </c>
      <c r="H136" s="613">
        <f t="shared" si="20"/>
        <v>301545.91606250737</v>
      </c>
      <c r="I136" s="614">
        <f t="shared" si="21"/>
        <v>301545.91606250737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6"/>
        <v/>
      </c>
      <c r="C137" s="472">
        <f>IF(D93="","-",+C136+1)</f>
        <v>2057</v>
      </c>
      <c r="D137" s="346">
        <f>IF(F136+SUM(E$99:E136)=D$92,F136,D$92-SUM(E$99:E136))</f>
        <v>804227</v>
      </c>
      <c r="E137" s="484">
        <f t="shared" si="17"/>
        <v>198724</v>
      </c>
      <c r="F137" s="485">
        <f t="shared" si="18"/>
        <v>605503</v>
      </c>
      <c r="G137" s="485">
        <f t="shared" si="19"/>
        <v>704865</v>
      </c>
      <c r="H137" s="613">
        <f t="shared" si="20"/>
        <v>278932.55706012272</v>
      </c>
      <c r="I137" s="614">
        <f t="shared" si="21"/>
        <v>278932.55706012272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6"/>
        <v/>
      </c>
      <c r="C138" s="472">
        <f>IF(D93="","-",+C137+1)</f>
        <v>2058</v>
      </c>
      <c r="D138" s="346">
        <f>IF(F137+SUM(E$99:E137)=D$92,F137,D$92-SUM(E$99:E137))</f>
        <v>605503</v>
      </c>
      <c r="E138" s="484">
        <f t="shared" si="17"/>
        <v>198724</v>
      </c>
      <c r="F138" s="485">
        <f t="shared" si="18"/>
        <v>406779</v>
      </c>
      <c r="G138" s="485">
        <f t="shared" si="19"/>
        <v>506141</v>
      </c>
      <c r="H138" s="613">
        <f t="shared" si="20"/>
        <v>256319.19805773813</v>
      </c>
      <c r="I138" s="614">
        <f t="shared" si="21"/>
        <v>256319.19805773813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6"/>
        <v/>
      </c>
      <c r="C139" s="472">
        <f>IF(D93="","-",+C138+1)</f>
        <v>2059</v>
      </c>
      <c r="D139" s="346">
        <f>IF(F138+SUM(E$99:E138)=D$92,F138,D$92-SUM(E$99:E138))</f>
        <v>406779</v>
      </c>
      <c r="E139" s="484">
        <f t="shared" si="17"/>
        <v>198724</v>
      </c>
      <c r="F139" s="485">
        <f t="shared" si="18"/>
        <v>208055</v>
      </c>
      <c r="G139" s="485">
        <f t="shared" si="19"/>
        <v>307417</v>
      </c>
      <c r="H139" s="613">
        <f t="shared" si="20"/>
        <v>233705.83905535351</v>
      </c>
      <c r="I139" s="614">
        <f t="shared" si="21"/>
        <v>233705.83905535351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6"/>
        <v/>
      </c>
      <c r="C140" s="472">
        <f>IF(D93="","-",+C139+1)</f>
        <v>2060</v>
      </c>
      <c r="D140" s="346">
        <f>IF(F139+SUM(E$99:E139)=D$92,F139,D$92-SUM(E$99:E139))</f>
        <v>208055</v>
      </c>
      <c r="E140" s="484">
        <f t="shared" si="17"/>
        <v>198724</v>
      </c>
      <c r="F140" s="485">
        <f t="shared" si="18"/>
        <v>9331</v>
      </c>
      <c r="G140" s="485">
        <f t="shared" si="19"/>
        <v>108693</v>
      </c>
      <c r="H140" s="613">
        <f t="shared" si="20"/>
        <v>211092.48005296889</v>
      </c>
      <c r="I140" s="614">
        <f t="shared" si="21"/>
        <v>211092.48005296889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6"/>
        <v/>
      </c>
      <c r="C141" s="472">
        <f>IF(D93="","-",+C140+1)</f>
        <v>2061</v>
      </c>
      <c r="D141" s="346">
        <f>IF(F140+SUM(E$99:E140)=D$92,F140,D$92-SUM(E$99:E140))</f>
        <v>9331</v>
      </c>
      <c r="E141" s="484">
        <f t="shared" si="17"/>
        <v>9331</v>
      </c>
      <c r="F141" s="485">
        <f t="shared" si="18"/>
        <v>0</v>
      </c>
      <c r="G141" s="485">
        <f t="shared" si="19"/>
        <v>4665.5</v>
      </c>
      <c r="H141" s="613">
        <f t="shared" si="20"/>
        <v>9861.9002758882943</v>
      </c>
      <c r="I141" s="614">
        <f t="shared" si="21"/>
        <v>9861.9002758882943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6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20"/>
        <v>0</v>
      </c>
      <c r="I142" s="614">
        <f t="shared" si="21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6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20"/>
        <v>0</v>
      </c>
      <c r="I143" s="614">
        <f t="shared" si="21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6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20"/>
        <v>0</v>
      </c>
      <c r="I144" s="614">
        <f t="shared" si="21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6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20"/>
        <v>0</v>
      </c>
      <c r="I145" s="614">
        <f t="shared" si="21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6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20"/>
        <v>0</v>
      </c>
      <c r="I146" s="614">
        <f t="shared" si="21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6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20"/>
        <v>0</v>
      </c>
      <c r="I147" s="614">
        <f t="shared" si="21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6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20"/>
        <v>0</v>
      </c>
      <c r="I148" s="614">
        <f t="shared" si="21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6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20"/>
        <v>0</v>
      </c>
      <c r="I149" s="614">
        <f t="shared" si="21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6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20"/>
        <v>0</v>
      </c>
      <c r="I150" s="614">
        <f t="shared" si="21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6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20"/>
        <v>0</v>
      </c>
      <c r="I151" s="614">
        <f t="shared" si="21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6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20"/>
        <v>0</v>
      </c>
      <c r="I152" s="614">
        <f t="shared" si="21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6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20"/>
        <v>0</v>
      </c>
      <c r="I153" s="614">
        <f t="shared" si="21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20"/>
        <v>0</v>
      </c>
      <c r="I154" s="616">
        <f t="shared" si="21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8147701</v>
      </c>
      <c r="F155" s="347"/>
      <c r="G155" s="347"/>
      <c r="H155" s="347">
        <f>SUM(H99:H154)</f>
        <v>27538915.894939911</v>
      </c>
      <c r="I155" s="347">
        <f>SUM(I99:I154)</f>
        <v>27538915.894939911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S137"/>
  <sheetViews>
    <sheetView zoomScale="70" zoomScaleNormal="70" zoomScaleSheetLayoutView="100" workbookViewId="0">
      <selection activeCell="O18" sqref="O18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0.7265625" style="148" customWidth="1"/>
    <col min="4" max="9" width="17.7265625" style="148" customWidth="1"/>
    <col min="10" max="10" width="17.7265625" style="148" bestFit="1" customWidth="1"/>
    <col min="11" max="11" width="2.1796875" style="148" customWidth="1"/>
    <col min="12" max="15" width="17.7265625" style="148" customWidth="1"/>
    <col min="16" max="16" width="19.54296875" style="148" customWidth="1"/>
    <col min="17" max="17" width="2.1796875" style="148" customWidth="1"/>
    <col min="18" max="18" width="16.453125" style="148" customWidth="1"/>
    <col min="19" max="19" width="52.453125" style="148" customWidth="1"/>
    <col min="20" max="16384" width="8.7265625" style="148"/>
  </cols>
  <sheetData>
    <row r="1" spans="1:19" ht="17.5">
      <c r="A1" s="645" t="str">
        <f>'PSO.WS.F.BPU.ATRR.Projected'!A1</f>
        <v xml:space="preserve">AEP West SPP Member Companies 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Q1" s="195"/>
      <c r="R1" s="195"/>
    </row>
    <row r="2" spans="1:19" ht="17.5">
      <c r="A2" s="645" t="str">
        <f>'PSO.WS.F.BPU.ATRR.Projected'!A2</f>
        <v>2024 Cost of Service Formula Rate Projected on 2023 FF1 Balances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Q2" s="239" t="s">
        <v>125</v>
      </c>
      <c r="R2" s="195"/>
    </row>
    <row r="3" spans="1:19" ht="18">
      <c r="A3" s="648" t="s">
        <v>141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Q3" s="195"/>
      <c r="R3" s="195"/>
    </row>
    <row r="4" spans="1:19" ht="17.5">
      <c r="A4" s="647" t="str">
        <f>"Based on a Carrying Charge Derived from ""Trued-Up"" "&amp;M16&amp;" Data"</f>
        <v>Based on a Carrying Charge Derived from "Trued-Up" 2021 Data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Q4" s="195"/>
      <c r="R4" s="195"/>
    </row>
    <row r="5" spans="1:19" ht="18">
      <c r="A5" s="653" t="str">
        <f>'PSO.WS.F.BPU.ATRR.Projected'!A5</f>
        <v>PUBLIC SERVICE COMPANY OF OKLAHOMA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Q5" s="195"/>
      <c r="R5" s="195"/>
    </row>
    <row r="6" spans="1:19" ht="20">
      <c r="A6" s="373"/>
      <c r="C6" s="303"/>
      <c r="D6" s="160"/>
      <c r="I6" s="216"/>
      <c r="K6" s="195"/>
      <c r="Q6" s="195"/>
      <c r="R6" s="195"/>
    </row>
    <row r="7" spans="1:19" ht="12.5">
      <c r="D7" s="160"/>
      <c r="I7" s="216"/>
      <c r="K7" s="195"/>
      <c r="Q7" s="195"/>
      <c r="R7" s="195"/>
    </row>
    <row r="8" spans="1:19" ht="38.25" customHeight="1">
      <c r="B8" s="243" t="s">
        <v>0</v>
      </c>
      <c r="C8" s="650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51"/>
      <c r="E8" s="651"/>
      <c r="F8" s="651"/>
      <c r="G8" s="651"/>
      <c r="H8" s="651"/>
      <c r="I8" s="651"/>
      <c r="K8" s="195"/>
      <c r="Q8" s="195"/>
      <c r="R8" s="195"/>
    </row>
    <row r="9" spans="1:19" ht="15.75" customHeight="1">
      <c r="C9" s="374"/>
      <c r="D9" s="374"/>
      <c r="E9" s="374"/>
      <c r="F9" s="374"/>
      <c r="G9" s="374"/>
      <c r="H9" s="374"/>
      <c r="I9" s="374"/>
      <c r="K9" s="195"/>
      <c r="Q9" s="195"/>
      <c r="R9" s="195"/>
    </row>
    <row r="10" spans="1:19" ht="15.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6"/>
      <c r="K10" s="195"/>
      <c r="Q10" s="195"/>
      <c r="R10" s="195"/>
    </row>
    <row r="11" spans="1:19" ht="12.5">
      <c r="D11" s="160"/>
      <c r="I11" s="216"/>
      <c r="K11" s="195"/>
      <c r="Q11" s="195"/>
      <c r="R11" s="195"/>
    </row>
    <row r="12" spans="1:19" ht="12.5">
      <c r="C12" s="247" t="str">
        <f>S105</f>
        <v xml:space="preserve">   ROE w/o incentives  (True-Up TCOS, ln 135)</v>
      </c>
      <c r="D12" s="160"/>
      <c r="E12" s="248"/>
      <c r="F12" s="249">
        <f>+R105</f>
        <v>0.105</v>
      </c>
      <c r="G12" s="249"/>
      <c r="H12" s="250"/>
      <c r="I12" s="251"/>
      <c r="J12" s="252"/>
      <c r="K12" s="253"/>
      <c r="L12" s="252"/>
      <c r="M12" s="252"/>
      <c r="N12" s="252"/>
      <c r="O12" s="252"/>
      <c r="P12" s="252"/>
      <c r="Q12" s="253"/>
      <c r="R12" s="242"/>
      <c r="S12" s="232"/>
    </row>
    <row r="13" spans="1:19" ht="13" thickBot="1">
      <c r="C13" s="247" t="s">
        <v>1</v>
      </c>
      <c r="D13" s="160"/>
      <c r="E13" s="248"/>
      <c r="F13" s="375">
        <f>R106</f>
        <v>0</v>
      </c>
      <c r="G13" s="376" t="s">
        <v>152</v>
      </c>
      <c r="L13" s="252"/>
      <c r="M13" s="252"/>
      <c r="N13" s="252"/>
      <c r="O13" s="252"/>
      <c r="P13" s="252"/>
      <c r="Q13" s="253"/>
      <c r="R13" s="242"/>
      <c r="S13" s="232"/>
    </row>
    <row r="14" spans="1:19" ht="13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I14" s="252"/>
      <c r="J14" s="252"/>
      <c r="K14" s="253"/>
      <c r="L14" s="377" t="s">
        <v>89</v>
      </c>
      <c r="M14" s="378"/>
      <c r="N14" s="378"/>
      <c r="O14" s="378"/>
      <c r="P14" s="379"/>
      <c r="Q14" s="253"/>
      <c r="R14" s="242"/>
      <c r="S14" s="232"/>
    </row>
    <row r="15" spans="1:19" ht="12.5">
      <c r="C15" s="247" t="s">
        <v>235</v>
      </c>
      <c r="D15" s="160"/>
      <c r="E15" s="248"/>
      <c r="F15" s="255"/>
      <c r="G15" s="255"/>
      <c r="H15" s="248"/>
      <c r="I15" s="252"/>
      <c r="J15" s="252"/>
      <c r="K15" s="253"/>
      <c r="L15" s="265"/>
      <c r="M15" s="253"/>
      <c r="N15" s="253" t="s">
        <v>8</v>
      </c>
      <c r="O15" s="253" t="s">
        <v>9</v>
      </c>
      <c r="P15" s="267" t="s">
        <v>10</v>
      </c>
      <c r="Q15" s="253"/>
      <c r="R15" s="242"/>
      <c r="S15" s="232"/>
    </row>
    <row r="16" spans="1:19" ht="12.5">
      <c r="C16" s="253"/>
      <c r="D16" s="257" t="s">
        <v>4</v>
      </c>
      <c r="E16" s="257" t="s">
        <v>5</v>
      </c>
      <c r="F16" s="258" t="s">
        <v>6</v>
      </c>
      <c r="G16" s="258"/>
      <c r="H16" s="248"/>
      <c r="I16" s="252"/>
      <c r="J16" s="252"/>
      <c r="K16" s="253"/>
      <c r="L16" s="265" t="s">
        <v>90</v>
      </c>
      <c r="M16" s="380">
        <f>+R104</f>
        <v>2021</v>
      </c>
      <c r="N16" s="195"/>
      <c r="O16" s="195"/>
      <c r="P16" s="272"/>
      <c r="Q16" s="253"/>
      <c r="R16" s="242"/>
      <c r="S16" s="232"/>
    </row>
    <row r="17" spans="3:19" ht="12.5">
      <c r="C17" s="259" t="s">
        <v>7</v>
      </c>
      <c r="D17" s="260">
        <f>R107</f>
        <v>0.45612323681704114</v>
      </c>
      <c r="E17" s="261">
        <f>R108</f>
        <v>3.4943152329142656E-2</v>
      </c>
      <c r="F17" s="381">
        <f>E17*D17</f>
        <v>1.593838374495948E-2</v>
      </c>
      <c r="G17" s="381"/>
      <c r="H17" s="248"/>
      <c r="I17" s="252"/>
      <c r="J17" s="263"/>
      <c r="K17" s="264"/>
      <c r="L17" s="271"/>
      <c r="M17" s="382" t="s">
        <v>219</v>
      </c>
      <c r="N17" s="383">
        <f>SUM('P.001:P.xyz - blank'!M87)</f>
        <v>8270466.4672365077</v>
      </c>
      <c r="O17" s="383">
        <f>SUM('P.001:P.xyz - blank'!N87)</f>
        <v>8270466.4672365077</v>
      </c>
      <c r="P17" s="384">
        <f>+O17-N17</f>
        <v>0</v>
      </c>
      <c r="Q17" s="264"/>
      <c r="R17" s="242"/>
      <c r="S17" s="232"/>
    </row>
    <row r="18" spans="3:19" ht="13" thickBot="1">
      <c r="C18" s="259" t="s">
        <v>11</v>
      </c>
      <c r="D18" s="260">
        <f>R109</f>
        <v>0</v>
      </c>
      <c r="E18" s="261">
        <f>R110</f>
        <v>0</v>
      </c>
      <c r="F18" s="381">
        <f>E18*D18</f>
        <v>0</v>
      </c>
      <c r="G18" s="381"/>
      <c r="H18" s="268"/>
      <c r="I18" s="268"/>
      <c r="J18" s="269"/>
      <c r="K18" s="270"/>
      <c r="L18" s="271"/>
      <c r="M18" s="385" t="s">
        <v>218</v>
      </c>
      <c r="N18" s="386">
        <f>SUM('P.001:P.xyz - blank'!M88)</f>
        <v>8678780.4620738681</v>
      </c>
      <c r="O18" s="386">
        <f>SUM('P.001:P.xyz - blank'!N88)</f>
        <v>8678780.4620738681</v>
      </c>
      <c r="P18" s="278">
        <f>+O18-N18</f>
        <v>0</v>
      </c>
      <c r="Q18" s="270"/>
      <c r="R18" s="242"/>
      <c r="S18" s="232"/>
    </row>
    <row r="19" spans="3:19" ht="12.5">
      <c r="C19" s="273" t="s">
        <v>12</v>
      </c>
      <c r="D19" s="260">
        <f>R111</f>
        <v>0.54387676318295886</v>
      </c>
      <c r="E19" s="261">
        <f>+F14</f>
        <v>0.105</v>
      </c>
      <c r="F19" s="387">
        <f>E19*D19</f>
        <v>5.7107060134210678E-2</v>
      </c>
      <c r="G19" s="387"/>
      <c r="H19" s="268"/>
      <c r="I19" s="268"/>
      <c r="J19" s="255"/>
      <c r="K19" s="270"/>
      <c r="L19" s="271"/>
      <c r="M19" s="388" t="str">
        <f>"True-up Adjustment For "&amp;M16&amp;""</f>
        <v>True-up Adjustment For 2021</v>
      </c>
      <c r="N19" s="389">
        <f>+N18-N17</f>
        <v>408313.99483736046</v>
      </c>
      <c r="O19" s="389">
        <f>+O18-O17</f>
        <v>408313.99483736046</v>
      </c>
      <c r="P19" s="390">
        <f>+P18-P17</f>
        <v>0</v>
      </c>
      <c r="Q19" s="270"/>
      <c r="R19" s="242"/>
      <c r="S19" s="232"/>
    </row>
    <row r="20" spans="3:19" ht="12.5">
      <c r="C20" s="247"/>
      <c r="D20" s="248"/>
      <c r="E20" s="279" t="s">
        <v>14</v>
      </c>
      <c r="F20" s="381">
        <f>SUM(F17:F19)</f>
        <v>7.3045443879170155E-2</v>
      </c>
      <c r="G20" s="381"/>
      <c r="H20" s="391"/>
      <c r="I20" s="268"/>
      <c r="J20" s="269"/>
      <c r="K20" s="270"/>
      <c r="L20" s="271"/>
      <c r="M20" s="195"/>
      <c r="N20" s="280" t="str">
        <f>IF(ROUND(N19,0)=ROUND(SUM('P.001:P.xyz - blank'!M89),0),"","ERROR")</f>
        <v/>
      </c>
      <c r="O20" s="280" t="str">
        <f>IF(ROUND(O19,0)=ROUND(SUM('P.001:P.xyz - blank'!N89),0),"","ERROR")</f>
        <v/>
      </c>
      <c r="P20" s="280" t="str">
        <f>IF(P19=SUM('P.001:P.xyz - blank'!O89),"","ERROR")</f>
        <v/>
      </c>
      <c r="Q20" s="270"/>
      <c r="R20" s="242"/>
      <c r="S20" s="232"/>
    </row>
    <row r="21" spans="3:19" ht="13" thickBot="1">
      <c r="D21" s="281"/>
      <c r="E21" s="281"/>
      <c r="F21" s="268"/>
      <c r="G21" s="268"/>
      <c r="H21" s="268"/>
      <c r="I21" s="268"/>
      <c r="J21" s="268"/>
      <c r="K21" s="282"/>
      <c r="L21" s="392"/>
      <c r="M21" s="393"/>
      <c r="N21" s="394"/>
      <c r="O21" s="394"/>
      <c r="P21" s="278"/>
      <c r="Q21" s="282"/>
      <c r="R21" s="242"/>
      <c r="S21" s="232"/>
    </row>
    <row r="22" spans="3:19" ht="15.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83"/>
      <c r="H22" s="268"/>
      <c r="I22" s="248"/>
      <c r="J22" s="268"/>
      <c r="K22" s="282"/>
      <c r="L22" s="268"/>
      <c r="M22" s="268"/>
      <c r="N22" s="268"/>
      <c r="O22" s="268"/>
      <c r="P22" s="268"/>
      <c r="Q22" s="282"/>
      <c r="R22" s="242"/>
      <c r="S22" s="232"/>
    </row>
    <row r="23" spans="3:19" ht="13">
      <c r="C23" s="253"/>
      <c r="D23" s="281"/>
      <c r="E23" s="281"/>
      <c r="F23" s="282"/>
      <c r="G23" s="282"/>
      <c r="H23" s="282"/>
      <c r="I23" s="282"/>
      <c r="J23" s="282"/>
      <c r="K23" s="282"/>
      <c r="L23" s="178" t="s">
        <v>15</v>
      </c>
      <c r="M23" s="282"/>
      <c r="N23" s="282"/>
      <c r="O23" s="282"/>
      <c r="P23" s="282"/>
      <c r="Q23" s="282"/>
      <c r="R23" s="242"/>
      <c r="S23" s="232"/>
    </row>
    <row r="24" spans="3:19" ht="12.5">
      <c r="C24" s="247" t="str">
        <f>S112</f>
        <v xml:space="preserve">   Rate Base  (True-Up TCOS, ln 63)</v>
      </c>
      <c r="D24" s="248"/>
      <c r="E24" s="285">
        <f>R112</f>
        <v>576614540.62033641</v>
      </c>
      <c r="F24" s="286"/>
      <c r="G24" s="286"/>
      <c r="H24" s="282"/>
      <c r="I24" s="282"/>
      <c r="J24" s="282"/>
      <c r="K24" s="282"/>
      <c r="L24" s="148" t="s">
        <v>16</v>
      </c>
      <c r="M24" s="282"/>
      <c r="N24" s="282"/>
      <c r="O24" s="282"/>
      <c r="P24" s="286"/>
      <c r="Q24" s="282"/>
      <c r="R24" s="242"/>
      <c r="S24" s="232"/>
    </row>
    <row r="25" spans="3:19" ht="12.5">
      <c r="C25" s="253" t="s">
        <v>17</v>
      </c>
      <c r="D25" s="250"/>
      <c r="E25" s="287">
        <f>F20</f>
        <v>7.3045443879170155E-2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42"/>
      <c r="S25" s="232"/>
    </row>
    <row r="26" spans="3:19" ht="12.5">
      <c r="C26" s="288" t="s">
        <v>18</v>
      </c>
      <c r="D26" s="288"/>
      <c r="E26" s="269">
        <f>E24*E25</f>
        <v>42119065.066796266</v>
      </c>
      <c r="F26" s="282"/>
      <c r="G26" s="282"/>
      <c r="H26" s="282"/>
      <c r="I26" s="282"/>
      <c r="J26" s="270"/>
      <c r="K26" s="270"/>
      <c r="L26" s="270"/>
      <c r="M26" s="270"/>
      <c r="N26" s="270"/>
      <c r="O26" s="270"/>
      <c r="P26" s="282"/>
      <c r="Q26" s="270"/>
      <c r="R26" s="242"/>
      <c r="S26" s="232"/>
    </row>
    <row r="27" spans="3:19" ht="12.5">
      <c r="C27" s="289"/>
      <c r="D27" s="252"/>
      <c r="E27" s="252"/>
      <c r="F27" s="282"/>
      <c r="G27" s="282"/>
      <c r="H27" s="282"/>
      <c r="I27" s="282"/>
      <c r="J27" s="270"/>
      <c r="K27" s="270"/>
      <c r="L27" s="270"/>
      <c r="M27" s="270"/>
      <c r="N27" s="270"/>
      <c r="O27" s="270"/>
      <c r="P27" s="282"/>
      <c r="Q27" s="270"/>
      <c r="R27" s="242"/>
      <c r="S27" s="232"/>
    </row>
    <row r="28" spans="3:19" ht="15.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1"/>
      <c r="J28" s="292"/>
      <c r="K28" s="292"/>
      <c r="L28" s="292"/>
      <c r="M28" s="292"/>
      <c r="N28" s="292"/>
      <c r="O28" s="292"/>
      <c r="P28" s="291"/>
      <c r="Q28" s="292"/>
      <c r="R28" s="242"/>
      <c r="S28" s="232"/>
    </row>
    <row r="29" spans="3:19" ht="12.5">
      <c r="C29" s="247"/>
      <c r="D29" s="252"/>
      <c r="E29" s="252"/>
      <c r="F29" s="282"/>
      <c r="G29" s="282"/>
      <c r="H29" s="282"/>
      <c r="I29" s="282"/>
      <c r="J29" s="270"/>
      <c r="K29" s="270"/>
      <c r="L29" s="270"/>
      <c r="M29" s="270"/>
      <c r="N29" s="270">
        <f>+N17-6729904</f>
        <v>1540562.4672365077</v>
      </c>
      <c r="O29" s="270"/>
      <c r="P29" s="282"/>
      <c r="Q29" s="270"/>
      <c r="R29" s="242"/>
      <c r="S29" s="232"/>
    </row>
    <row r="30" spans="3:19" ht="12.5">
      <c r="C30" s="253" t="s">
        <v>19</v>
      </c>
      <c r="D30" s="279"/>
      <c r="E30" s="293">
        <f>E26</f>
        <v>42119065.066796266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42"/>
      <c r="S30" s="232"/>
    </row>
    <row r="31" spans="3:19" ht="12.5">
      <c r="C31" s="247" t="str">
        <f>S113</f>
        <v xml:space="preserve">   Tax Rate  (True-Up TCOS, ln 105)</v>
      </c>
      <c r="D31" s="279"/>
      <c r="E31" s="294">
        <f>R113</f>
        <v>0.25321299999999991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42"/>
      <c r="S31" s="232"/>
    </row>
    <row r="32" spans="3:19" ht="12.5">
      <c r="C32" s="253" t="s">
        <v>20</v>
      </c>
      <c r="D32" s="240"/>
      <c r="E32" s="255">
        <f>IF(F17&gt;0,($E31/(1-$E31))*(1-$F17/$F20),0)</f>
        <v>0.26508546795705962</v>
      </c>
      <c r="F32" s="232"/>
      <c r="G32" s="232"/>
      <c r="H32" s="232"/>
      <c r="I32" s="241"/>
      <c r="J32" s="232"/>
      <c r="K32" s="242"/>
      <c r="L32" s="232"/>
      <c r="M32" s="232"/>
      <c r="N32" s="232"/>
      <c r="O32" s="232"/>
      <c r="P32" s="232"/>
      <c r="Q32" s="242"/>
      <c r="R32" s="242"/>
      <c r="S32" s="338"/>
    </row>
    <row r="33" spans="2:19" ht="12.5">
      <c r="C33" s="289" t="s">
        <v>21</v>
      </c>
      <c r="D33" s="240"/>
      <c r="E33" s="296">
        <f>E30*E32</f>
        <v>11165152.073145531</v>
      </c>
      <c r="F33" s="232"/>
      <c r="G33" s="232"/>
      <c r="H33" s="232"/>
      <c r="I33" s="241"/>
      <c r="J33" s="232"/>
      <c r="K33" s="242"/>
      <c r="L33" s="232"/>
      <c r="M33" s="232"/>
      <c r="N33" s="232"/>
      <c r="O33" s="232"/>
      <c r="P33" s="232"/>
      <c r="Q33" s="242"/>
      <c r="R33" s="242"/>
      <c r="S33" s="232"/>
    </row>
    <row r="34" spans="2:19" ht="15.5">
      <c r="C34" s="247" t="str">
        <f>+S114</f>
        <v xml:space="preserve">   ITC Adjustment  (True-Up TCOS, ln 102)</v>
      </c>
      <c r="D34" s="297"/>
      <c r="E34" s="298">
        <f>R114</f>
        <v>-397904.12505828106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  <c r="R34" s="242"/>
      <c r="S34" s="232"/>
    </row>
    <row r="35" spans="2:19" ht="15.5">
      <c r="C35" s="305" t="str">
        <f>+S115</f>
        <v xml:space="preserve">   Excess DFIT Adjustment  (TCOS, ln 109)</v>
      </c>
      <c r="D35" s="297"/>
      <c r="E35" s="298">
        <f>R115</f>
        <v>-4796610.6158784227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  <c r="R35" s="242"/>
      <c r="S35" s="232"/>
    </row>
    <row r="36" spans="2:19" ht="15.5">
      <c r="C36" s="305" t="str">
        <f>+S116</f>
        <v xml:space="preserve">   Tax Effect of Permanent and Flow Through Differences (TCOS, ln 110)</v>
      </c>
      <c r="D36" s="297"/>
      <c r="E36" s="298">
        <f>R116</f>
        <v>72099.192942565947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  <c r="R36" s="242"/>
      <c r="S36" s="232"/>
    </row>
    <row r="37" spans="2:19" ht="15.5">
      <c r="C37" s="289" t="s">
        <v>22</v>
      </c>
      <c r="D37" s="297"/>
      <c r="E37" s="298">
        <f>E33+E34+E35+E36</f>
        <v>6042736.5251513943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  <c r="R37" s="242"/>
      <c r="S37" s="232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42"/>
      <c r="S38" s="232"/>
    </row>
    <row r="39" spans="2:19" ht="18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42"/>
      <c r="S39" s="232"/>
    </row>
    <row r="40" spans="2:19" ht="18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4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42"/>
      <c r="S41" s="232"/>
    </row>
    <row r="42" spans="2:19" ht="15.5">
      <c r="C42" s="244" t="s">
        <v>24</v>
      </c>
      <c r="D42" s="297"/>
      <c r="E42" s="297"/>
      <c r="F42" s="304"/>
      <c r="G42" s="304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42"/>
      <c r="S42" s="232"/>
    </row>
    <row r="43" spans="2:19" ht="12.5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42"/>
      <c r="S43" s="232"/>
    </row>
    <row r="44" spans="2:19" ht="12.75" customHeight="1">
      <c r="B44" s="232"/>
      <c r="C44" s="247" t="str">
        <f>S117</f>
        <v xml:space="preserve">   Net Revenue Requirement  (True-Up TCOS, ln 109)</v>
      </c>
      <c r="D44" s="306"/>
      <c r="E44" s="306"/>
      <c r="F44" s="298">
        <f>R117</f>
        <v>101516645.5472271</v>
      </c>
      <c r="G44" s="298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42"/>
      <c r="S44" s="232"/>
    </row>
    <row r="45" spans="2:19" ht="12.5">
      <c r="B45" s="232"/>
      <c r="C45" s="247" t="str">
        <f>S118</f>
        <v xml:space="preserve">   Return  (True-Up TCOS, ln 104)</v>
      </c>
      <c r="D45" s="306"/>
      <c r="E45" s="306"/>
      <c r="F45" s="298">
        <f>R118</f>
        <v>42119065.066796266</v>
      </c>
      <c r="G45" s="307"/>
      <c r="H45" s="308"/>
      <c r="I45" s="308"/>
      <c r="J45" s="308"/>
      <c r="K45" s="308"/>
      <c r="L45" s="308"/>
      <c r="M45" s="308"/>
      <c r="N45" s="308"/>
      <c r="O45" s="308"/>
      <c r="P45" s="298"/>
      <c r="Q45" s="308"/>
      <c r="R45" s="242"/>
      <c r="S45" s="232"/>
    </row>
    <row r="46" spans="2:19" ht="12.5">
      <c r="B46" s="232"/>
      <c r="C46" s="247" t="str">
        <f>S119</f>
        <v xml:space="preserve">   Income Taxes  (True-Up TCOS, ln 103)</v>
      </c>
      <c r="D46" s="306"/>
      <c r="E46" s="306"/>
      <c r="F46" s="298">
        <f>R119</f>
        <v>6042736.5251513943</v>
      </c>
      <c r="G46" s="298"/>
      <c r="H46" s="306"/>
      <c r="I46" s="306"/>
      <c r="J46" s="309"/>
      <c r="K46" s="309"/>
      <c r="L46" s="309"/>
      <c r="M46" s="309"/>
      <c r="N46" s="309"/>
      <c r="O46" s="309"/>
      <c r="P46" s="306"/>
      <c r="Q46" s="309"/>
      <c r="R46" s="242"/>
      <c r="S46" s="232"/>
    </row>
    <row r="47" spans="2:19" ht="12.5">
      <c r="B47" s="232"/>
      <c r="C47" s="247" t="str">
        <f>S120</f>
        <v xml:space="preserve">  Gross Margin Taxes  (True-Up TCOS, ln 108)</v>
      </c>
      <c r="D47" s="306"/>
      <c r="E47" s="306"/>
      <c r="F47" s="310">
        <f>R120</f>
        <v>0</v>
      </c>
      <c r="G47" s="298"/>
      <c r="H47" s="306"/>
      <c r="I47" s="306"/>
      <c r="J47" s="309"/>
      <c r="K47" s="309"/>
      <c r="L47" s="309"/>
      <c r="M47" s="309"/>
      <c r="N47" s="309"/>
      <c r="O47" s="309"/>
      <c r="P47" s="306"/>
      <c r="Q47" s="309"/>
      <c r="R47" s="242"/>
      <c r="S47" s="232"/>
    </row>
    <row r="48" spans="2:19" ht="12.5">
      <c r="B48" s="232"/>
      <c r="C48" s="311" t="s">
        <v>25</v>
      </c>
      <c r="D48" s="306"/>
      <c r="E48" s="306"/>
      <c r="F48" s="307">
        <f>F44-F45-F46-F47</f>
        <v>53354843.95527944</v>
      </c>
      <c r="G48" s="307"/>
      <c r="H48" s="312"/>
      <c r="I48" s="306"/>
      <c r="J48" s="312"/>
      <c r="K48" s="312"/>
      <c r="L48" s="312"/>
      <c r="M48" s="312"/>
      <c r="N48" s="312"/>
      <c r="O48" s="312"/>
      <c r="P48" s="312"/>
      <c r="Q48" s="312"/>
      <c r="R48" s="242"/>
      <c r="S48" s="232"/>
    </row>
    <row r="49" spans="2:19" ht="12.5">
      <c r="B49" s="232"/>
      <c r="C49" s="305"/>
      <c r="D49" s="306"/>
      <c r="E49" s="306"/>
      <c r="F49" s="298"/>
      <c r="G49" s="298"/>
      <c r="H49" s="313"/>
      <c r="I49" s="314"/>
      <c r="J49" s="314"/>
      <c r="K49" s="314"/>
      <c r="L49" s="314"/>
      <c r="M49" s="314"/>
      <c r="N49" s="314"/>
      <c r="O49" s="314"/>
      <c r="P49" s="314"/>
      <c r="Q49" s="314"/>
      <c r="R49" s="242"/>
      <c r="S49" s="232"/>
    </row>
    <row r="50" spans="2:19" ht="15.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298"/>
      <c r="H50" s="313"/>
      <c r="I50" s="314"/>
      <c r="J50" s="314"/>
      <c r="K50" s="314"/>
      <c r="L50" s="314"/>
      <c r="M50" s="314"/>
      <c r="N50" s="314"/>
      <c r="O50" s="314"/>
      <c r="P50" s="314"/>
      <c r="Q50" s="314"/>
      <c r="R50" s="242"/>
      <c r="S50" s="232"/>
    </row>
    <row r="51" spans="2:19" ht="12.5">
      <c r="B51" s="232"/>
      <c r="C51" s="305"/>
      <c r="D51" s="315"/>
      <c r="E51" s="315"/>
      <c r="F51" s="298"/>
      <c r="G51" s="298"/>
      <c r="H51" s="313"/>
      <c r="I51" s="314"/>
      <c r="J51" s="314"/>
      <c r="K51" s="314"/>
      <c r="L51" s="314"/>
      <c r="M51" s="314"/>
      <c r="N51" s="314"/>
      <c r="O51" s="314"/>
      <c r="P51" s="314"/>
      <c r="Q51" s="314"/>
      <c r="R51" s="242"/>
      <c r="S51" s="232"/>
    </row>
    <row r="52" spans="2:19" ht="13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53354843.95527944</v>
      </c>
      <c r="G52" s="298"/>
      <c r="H52" s="306"/>
      <c r="I52" s="306"/>
      <c r="J52" s="306"/>
      <c r="K52" s="306"/>
      <c r="L52" s="306"/>
      <c r="M52" s="306"/>
      <c r="N52" s="306"/>
      <c r="O52" s="306"/>
      <c r="P52" s="318"/>
      <c r="Q52" s="306"/>
      <c r="R52" s="242"/>
      <c r="S52" s="232"/>
    </row>
    <row r="53" spans="2:19" ht="13">
      <c r="B53" s="232"/>
      <c r="C53" s="253" t="s">
        <v>103</v>
      </c>
      <c r="D53" s="320"/>
      <c r="E53" s="311"/>
      <c r="F53" s="321">
        <f>E26</f>
        <v>42119065.066796266</v>
      </c>
      <c r="G53" s="321"/>
      <c r="H53" s="311"/>
      <c r="I53" s="322"/>
      <c r="J53" s="311"/>
      <c r="K53" s="311"/>
      <c r="L53" s="311"/>
      <c r="M53" s="311"/>
      <c r="N53" s="311"/>
      <c r="O53" s="311"/>
      <c r="P53" s="311"/>
      <c r="Q53" s="311"/>
      <c r="R53" s="242"/>
      <c r="S53" s="232"/>
    </row>
    <row r="54" spans="2:19" ht="12.75" customHeight="1">
      <c r="B54" s="232"/>
      <c r="C54" s="247" t="s">
        <v>26</v>
      </c>
      <c r="D54" s="306"/>
      <c r="E54" s="306"/>
      <c r="F54" s="395">
        <f>E37</f>
        <v>6042736.5251513943</v>
      </c>
      <c r="G54" s="323"/>
      <c r="H54" s="232"/>
      <c r="I54" s="241"/>
      <c r="J54" s="232"/>
      <c r="K54" s="242"/>
      <c r="L54" s="232"/>
      <c r="M54" s="232"/>
      <c r="N54" s="232"/>
      <c r="O54" s="232"/>
      <c r="P54" s="232"/>
      <c r="Q54" s="242"/>
      <c r="R54" s="242"/>
      <c r="S54" s="232"/>
    </row>
    <row r="55" spans="2:19" ht="12.5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101516645.54722711</v>
      </c>
      <c r="G55" s="296"/>
      <c r="H55" s="232"/>
      <c r="I55" s="241"/>
      <c r="J55" s="232"/>
      <c r="K55" s="242"/>
      <c r="L55" s="232"/>
      <c r="M55" s="232"/>
      <c r="N55" s="232"/>
      <c r="O55" s="232"/>
      <c r="P55" s="232"/>
      <c r="Q55" s="242"/>
      <c r="R55" s="242"/>
      <c r="S55" s="232"/>
    </row>
    <row r="56" spans="2:19" ht="12.5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321"/>
      <c r="H56" s="232"/>
      <c r="I56" s="241"/>
      <c r="J56" s="232"/>
      <c r="K56" s="242"/>
      <c r="L56" s="232"/>
      <c r="M56" s="232"/>
      <c r="N56" s="232"/>
      <c r="O56" s="232"/>
      <c r="P56" s="232"/>
      <c r="Q56" s="242"/>
      <c r="R56" s="242"/>
      <c r="S56" s="232"/>
    </row>
    <row r="57" spans="2:19" ht="12.5">
      <c r="B57" s="232"/>
      <c r="C57" s="311" t="s">
        <v>27</v>
      </c>
      <c r="D57" s="240"/>
      <c r="E57" s="232"/>
      <c r="F57" s="327">
        <f>+F55+F56</f>
        <v>101516645.54722711</v>
      </c>
      <c r="G57" s="327"/>
      <c r="H57" s="232"/>
      <c r="I57" s="241"/>
      <c r="J57" s="232"/>
      <c r="K57" s="242"/>
      <c r="L57" s="232"/>
      <c r="M57" s="232"/>
      <c r="N57" s="232"/>
      <c r="O57" s="232"/>
      <c r="P57" s="232"/>
      <c r="Q57" s="242"/>
      <c r="R57" s="242"/>
      <c r="S57" s="232"/>
    </row>
    <row r="58" spans="2:19" ht="12.5">
      <c r="B58" s="232"/>
      <c r="C58" s="247" t="str">
        <f>S121</f>
        <v xml:space="preserve">   Less: Depreciation  (True-Up TCOS, ln 82)</v>
      </c>
      <c r="D58" s="240"/>
      <c r="E58" s="232"/>
      <c r="F58" s="328">
        <f>R121</f>
        <v>22302747.576007824</v>
      </c>
      <c r="G58" s="328"/>
      <c r="H58" s="232"/>
      <c r="I58" s="241"/>
      <c r="J58" s="232"/>
      <c r="K58" s="242"/>
      <c r="L58" s="232"/>
      <c r="M58" s="232"/>
      <c r="N58" s="232"/>
      <c r="O58" s="232"/>
      <c r="P58" s="232"/>
      <c r="Q58" s="242"/>
      <c r="R58" s="242"/>
      <c r="S58" s="232"/>
    </row>
    <row r="59" spans="2:19" ht="12.5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79213897.971219286</v>
      </c>
      <c r="G59" s="296"/>
      <c r="H59" s="232"/>
      <c r="I59" s="241"/>
      <c r="J59" s="232"/>
      <c r="K59" s="242"/>
      <c r="L59" s="232"/>
      <c r="M59" s="232"/>
      <c r="N59" s="232"/>
      <c r="O59" s="232"/>
      <c r="P59" s="232"/>
      <c r="Q59" s="242"/>
      <c r="R59" s="242"/>
      <c r="S59" s="232"/>
    </row>
    <row r="60" spans="2:19" ht="12.5">
      <c r="B60" s="232"/>
      <c r="C60" s="232"/>
      <c r="D60" s="240"/>
      <c r="E60" s="232"/>
      <c r="F60" s="232"/>
      <c r="G60" s="232"/>
      <c r="H60" s="232"/>
      <c r="I60" s="241"/>
      <c r="J60" s="232"/>
      <c r="K60" s="242"/>
      <c r="L60" s="232"/>
      <c r="M60" s="232"/>
      <c r="N60" s="232"/>
      <c r="O60" s="232"/>
      <c r="P60" s="232"/>
      <c r="Q60" s="242"/>
      <c r="R60" s="242"/>
      <c r="S60" s="232"/>
    </row>
    <row r="61" spans="2:19" ht="15.5">
      <c r="B61" s="232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32"/>
      <c r="H61" s="329"/>
      <c r="I61" s="241"/>
      <c r="J61" s="232"/>
      <c r="K61" s="242"/>
      <c r="L61" s="232"/>
      <c r="M61" s="232"/>
      <c r="N61" s="232"/>
      <c r="O61" s="232"/>
      <c r="P61" s="232"/>
      <c r="Q61" s="242"/>
      <c r="R61" s="242"/>
      <c r="S61" s="232"/>
    </row>
    <row r="62" spans="2:19" ht="12.5">
      <c r="B62" s="232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101516645.54722711</v>
      </c>
      <c r="G62" s="332"/>
      <c r="H62" s="329"/>
      <c r="I62" s="241"/>
      <c r="J62" s="232"/>
      <c r="K62" s="242"/>
      <c r="L62" s="232"/>
      <c r="M62" s="232"/>
      <c r="N62" s="232"/>
      <c r="O62" s="232"/>
      <c r="P62" s="232"/>
      <c r="Q62" s="242"/>
      <c r="R62" s="242"/>
      <c r="S62" s="232"/>
    </row>
    <row r="63" spans="2:19" ht="12.5">
      <c r="B63" s="232"/>
      <c r="C63" s="324" t="s">
        <v>28</v>
      </c>
      <c r="D63" s="331"/>
      <c r="E63" s="331"/>
      <c r="F63" s="332"/>
      <c r="G63" s="332"/>
      <c r="H63" s="329"/>
      <c r="I63" s="241"/>
      <c r="J63" s="232"/>
      <c r="K63" s="242"/>
      <c r="L63" s="232"/>
      <c r="M63" s="232"/>
      <c r="N63" s="232"/>
      <c r="O63" s="232"/>
      <c r="P63" s="232"/>
      <c r="Q63" s="242"/>
      <c r="R63" s="242"/>
      <c r="S63" s="232"/>
    </row>
    <row r="64" spans="2:19" ht="12.5">
      <c r="B64" s="232"/>
      <c r="C64" s="311" t="str">
        <f>S122</f>
        <v xml:space="preserve">       Apportionment Factor to Texas (Worksheet K, ln 12)</v>
      </c>
      <c r="D64" s="295"/>
      <c r="E64" s="329"/>
      <c r="F64" s="334">
        <f>R122</f>
        <v>0</v>
      </c>
      <c r="G64" s="396"/>
      <c r="H64" s="329"/>
      <c r="I64" s="241"/>
      <c r="J64" s="232"/>
      <c r="K64" s="242"/>
      <c r="L64" s="232"/>
      <c r="M64" s="232"/>
      <c r="N64" s="232"/>
      <c r="O64" s="232"/>
      <c r="P64" s="232"/>
      <c r="Q64" s="242"/>
      <c r="R64" s="242"/>
      <c r="S64" s="232"/>
    </row>
    <row r="65" spans="2:19" ht="12.5">
      <c r="B65" s="232"/>
      <c r="C65" s="311" t="s">
        <v>29</v>
      </c>
      <c r="D65" s="295"/>
      <c r="E65" s="329"/>
      <c r="F65" s="332">
        <f>+F64*F62</f>
        <v>0</v>
      </c>
      <c r="G65" s="332"/>
      <c r="H65" s="329"/>
      <c r="I65" s="241"/>
      <c r="J65" s="232"/>
      <c r="K65" s="242"/>
      <c r="L65" s="232"/>
      <c r="M65" s="232"/>
      <c r="N65" s="232"/>
      <c r="O65" s="232"/>
      <c r="P65" s="232"/>
      <c r="Q65" s="242"/>
      <c r="R65" s="242"/>
      <c r="S65" s="232"/>
    </row>
    <row r="66" spans="2:19" ht="12.5">
      <c r="B66" s="232"/>
      <c r="C66" s="311" t="str">
        <f>+'PSO.WS.F.BPU.ATRR.Projected'!C66</f>
        <v xml:space="preserve">       Taxable Percentage of Revenue (22%)</v>
      </c>
      <c r="D66" s="295"/>
      <c r="E66" s="329"/>
      <c r="F66" s="335">
        <f>+'PSO.WS.F.BPU.ATRR.Projected'!F66</f>
        <v>0.22</v>
      </c>
      <c r="G66" s="397"/>
      <c r="H66" s="329"/>
      <c r="I66" s="241"/>
      <c r="J66" s="232"/>
      <c r="K66" s="242"/>
      <c r="L66" s="232"/>
      <c r="M66" s="232"/>
      <c r="N66" s="232"/>
      <c r="O66" s="232"/>
      <c r="P66" s="232"/>
      <c r="Q66" s="242"/>
      <c r="R66" s="242"/>
      <c r="S66" s="232"/>
    </row>
    <row r="67" spans="2:19" ht="12.5">
      <c r="B67" s="232"/>
      <c r="C67" s="311" t="s">
        <v>30</v>
      </c>
      <c r="D67" s="295"/>
      <c r="E67" s="329"/>
      <c r="F67" s="332">
        <f>+F65*F66</f>
        <v>0</v>
      </c>
      <c r="G67" s="332"/>
      <c r="H67" s="329"/>
      <c r="I67" s="241"/>
      <c r="J67" s="232"/>
      <c r="K67" s="242"/>
      <c r="L67" s="232"/>
      <c r="M67" s="232"/>
      <c r="N67" s="232"/>
      <c r="O67" s="232"/>
      <c r="P67" s="232"/>
      <c r="Q67" s="242"/>
      <c r="R67" s="242"/>
      <c r="S67" s="232"/>
    </row>
    <row r="68" spans="2:19" ht="12.5">
      <c r="B68" s="232"/>
      <c r="C68" s="311" t="s">
        <v>31</v>
      </c>
      <c r="D68" s="295"/>
      <c r="E68" s="329"/>
      <c r="F68" s="335">
        <v>0.01</v>
      </c>
      <c r="G68" s="397"/>
      <c r="H68" s="329"/>
      <c r="I68" s="241"/>
      <c r="J68" s="232"/>
      <c r="K68" s="242"/>
      <c r="L68" s="232"/>
      <c r="M68" s="232"/>
      <c r="N68" s="232"/>
      <c r="O68" s="232"/>
      <c r="P68" s="232"/>
      <c r="Q68" s="242"/>
      <c r="R68" s="242"/>
      <c r="S68" s="232"/>
    </row>
    <row r="69" spans="2:19" ht="12.5">
      <c r="B69" s="232"/>
      <c r="C69" s="311" t="s">
        <v>32</v>
      </c>
      <c r="D69" s="295"/>
      <c r="E69" s="329"/>
      <c r="F69" s="332">
        <f>+F67*F68</f>
        <v>0</v>
      </c>
      <c r="G69" s="332"/>
      <c r="H69" s="329"/>
      <c r="I69" s="241"/>
      <c r="J69" s="232"/>
      <c r="K69" s="242"/>
      <c r="L69" s="232"/>
      <c r="M69" s="232"/>
      <c r="N69" s="232"/>
      <c r="O69" s="232"/>
      <c r="P69" s="232"/>
      <c r="Q69" s="242"/>
      <c r="R69" s="242"/>
      <c r="S69" s="232"/>
    </row>
    <row r="70" spans="2:19" ht="12.5">
      <c r="B70" s="232"/>
      <c r="C70" s="311" t="s">
        <v>33</v>
      </c>
      <c r="D70" s="295"/>
      <c r="E70" s="329"/>
      <c r="F70" s="336">
        <f>+ROUND((F69*F66*F64)/(1-F68)*F68,0)</f>
        <v>0</v>
      </c>
      <c r="G70" s="398"/>
      <c r="H70" s="329"/>
      <c r="I70" s="241"/>
      <c r="J70" s="232"/>
      <c r="K70" s="242"/>
      <c r="L70" s="232"/>
      <c r="M70" s="232"/>
      <c r="N70" s="232"/>
      <c r="O70" s="232"/>
      <c r="P70" s="232"/>
      <c r="Q70" s="242"/>
      <c r="R70" s="242"/>
      <c r="S70" s="232"/>
    </row>
    <row r="71" spans="2:19" ht="12.5">
      <c r="B71" s="232"/>
      <c r="C71" s="311" t="s">
        <v>34</v>
      </c>
      <c r="D71" s="295"/>
      <c r="E71" s="329"/>
      <c r="F71" s="332">
        <f>+F69+F70</f>
        <v>0</v>
      </c>
      <c r="G71" s="332"/>
      <c r="H71" s="329"/>
      <c r="I71" s="241"/>
      <c r="J71" s="232"/>
      <c r="K71" s="242"/>
      <c r="L71" s="232"/>
      <c r="M71" s="232"/>
      <c r="N71" s="232"/>
      <c r="O71" s="232"/>
      <c r="P71" s="232"/>
      <c r="Q71" s="242"/>
      <c r="R71" s="242"/>
      <c r="S71" s="232"/>
    </row>
    <row r="72" spans="2:19" ht="12.5">
      <c r="B72" s="232"/>
      <c r="C72" s="232"/>
      <c r="D72" s="240"/>
      <c r="E72" s="232"/>
      <c r="F72" s="232"/>
      <c r="G72" s="232"/>
      <c r="H72" s="232"/>
      <c r="I72" s="241"/>
      <c r="J72" s="232"/>
      <c r="K72" s="242"/>
      <c r="L72" s="232"/>
      <c r="M72" s="232"/>
      <c r="N72" s="232"/>
      <c r="O72" s="232"/>
      <c r="P72" s="232"/>
      <c r="Q72" s="242"/>
      <c r="R72" s="242"/>
      <c r="S72" s="232"/>
    </row>
    <row r="73" spans="2:19" ht="15.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32"/>
      <c r="I73" s="216"/>
      <c r="J73" s="232"/>
      <c r="K73" s="242"/>
      <c r="L73" s="232"/>
      <c r="M73" s="232"/>
      <c r="N73" s="232"/>
      <c r="O73" s="232"/>
      <c r="P73" s="232"/>
      <c r="Q73" s="242"/>
      <c r="R73" s="242"/>
      <c r="S73" s="232"/>
    </row>
    <row r="74" spans="2:19" ht="12.5">
      <c r="B74" s="232"/>
      <c r="C74" s="232"/>
      <c r="D74" s="240"/>
      <c r="E74" s="232"/>
      <c r="F74" s="232"/>
      <c r="G74" s="232"/>
      <c r="H74" s="232"/>
      <c r="I74" s="241"/>
      <c r="J74" s="232"/>
      <c r="K74" s="242"/>
      <c r="L74" s="232"/>
      <c r="M74" s="232"/>
      <c r="N74" s="232"/>
      <c r="O74" s="232"/>
      <c r="P74" s="232"/>
      <c r="Q74" s="242"/>
      <c r="R74" s="242"/>
      <c r="S74" s="232"/>
    </row>
    <row r="75" spans="2:19" ht="12.5">
      <c r="B75" s="232"/>
      <c r="C75" s="305" t="str">
        <f>S123</f>
        <v xml:space="preserve">   Net Transmission Plant  (True-Up TCOS, ln 39)</v>
      </c>
      <c r="D75" s="240"/>
      <c r="E75" s="232"/>
      <c r="F75" s="296">
        <f>R123</f>
        <v>696124032.64692307</v>
      </c>
      <c r="G75" s="296"/>
      <c r="I75" s="216"/>
      <c r="J75" s="232"/>
      <c r="K75" s="242"/>
      <c r="L75" s="232"/>
      <c r="M75" s="232"/>
      <c r="N75" s="232"/>
      <c r="O75" s="232"/>
      <c r="P75" s="232"/>
      <c r="Q75" s="242"/>
      <c r="R75" s="242"/>
      <c r="S75" s="232"/>
    </row>
    <row r="76" spans="2:19" ht="14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99">
        <f>+F57</f>
        <v>101516645.54722711</v>
      </c>
      <c r="G76" s="399"/>
      <c r="I76" s="216"/>
      <c r="J76" s="232"/>
      <c r="K76" s="242"/>
      <c r="L76" s="232"/>
      <c r="M76" s="232"/>
      <c r="N76" s="232"/>
      <c r="O76" s="232"/>
      <c r="P76" s="232"/>
      <c r="Q76" s="242"/>
      <c r="R76" s="242"/>
      <c r="S76" s="232"/>
    </row>
    <row r="77" spans="2:19" ht="12.5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0.14583126107745911</v>
      </c>
      <c r="G77" s="338"/>
      <c r="I77" s="216"/>
      <c r="J77" s="232"/>
      <c r="K77" s="242"/>
      <c r="L77" s="232"/>
      <c r="M77" s="232"/>
      <c r="N77" s="232"/>
      <c r="O77" s="232"/>
      <c r="P77" s="232"/>
      <c r="Q77" s="242"/>
      <c r="R77" s="242"/>
      <c r="S77" s="232"/>
    </row>
    <row r="78" spans="2:19" ht="12.5">
      <c r="B78" s="232"/>
      <c r="D78" s="240"/>
      <c r="E78" s="232"/>
      <c r="F78" s="329"/>
      <c r="G78" s="329"/>
      <c r="H78" s="400"/>
      <c r="I78" s="216"/>
      <c r="J78" s="232"/>
      <c r="K78" s="242"/>
      <c r="L78" s="232"/>
      <c r="M78" s="232"/>
      <c r="N78" s="232"/>
      <c r="O78" s="232"/>
      <c r="P78" s="232"/>
      <c r="Q78" s="242"/>
      <c r="R78" s="242"/>
      <c r="S78" s="232"/>
    </row>
    <row r="79" spans="2:19" ht="12.5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+F59</f>
        <v>79213897.971219286</v>
      </c>
      <c r="G79" s="296"/>
      <c r="I79" s="216"/>
      <c r="J79" s="232"/>
      <c r="K79" s="242"/>
      <c r="L79" s="232"/>
      <c r="M79" s="232"/>
      <c r="N79" s="232"/>
      <c r="O79" s="232"/>
      <c r="P79" s="232"/>
      <c r="Q79" s="242"/>
      <c r="R79" s="242"/>
      <c r="S79" s="232"/>
    </row>
    <row r="80" spans="2:19" ht="12.5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0.11379279303146383</v>
      </c>
      <c r="G80" s="338"/>
      <c r="H80" s="245"/>
      <c r="I80" s="216"/>
      <c r="J80" s="232"/>
      <c r="K80" s="242"/>
      <c r="L80" s="232"/>
      <c r="M80" s="232"/>
      <c r="N80" s="232"/>
      <c r="O80" s="232"/>
      <c r="P80" s="232"/>
      <c r="Q80" s="242"/>
      <c r="R80" s="242"/>
      <c r="S80" s="232"/>
    </row>
    <row r="81" spans="2:19" ht="12.5">
      <c r="B81" s="232"/>
      <c r="C81" s="305" t="str">
        <f>S124</f>
        <v xml:space="preserve">   FCR less Depreciation  (True-Up TCOS, ln 12)</v>
      </c>
      <c r="D81" s="240"/>
      <c r="E81" s="232"/>
      <c r="F81" s="339">
        <f>R124</f>
        <v>0.11379279303146381</v>
      </c>
      <c r="G81" s="339"/>
      <c r="H81" s="401"/>
      <c r="I81" s="216"/>
      <c r="J81" s="232"/>
      <c r="K81" s="242"/>
      <c r="L81" s="232"/>
      <c r="M81" s="232"/>
      <c r="N81" s="232"/>
      <c r="O81" s="232"/>
      <c r="P81" s="232"/>
      <c r="Q81" s="242"/>
      <c r="R81" s="242"/>
      <c r="S81" s="232"/>
    </row>
    <row r="82" spans="2:19" ht="12.5">
      <c r="B82" s="232"/>
      <c r="C82" s="311" t="str">
        <f>"   Incremental FCR with "&amp;F13&amp;" Basis Point ROE increase, less Depreciation"</f>
        <v xml:space="preserve">   Incremental FCR with 0 Basis Point ROE increase, less Depreciation</v>
      </c>
      <c r="D82" s="240"/>
      <c r="E82" s="232"/>
      <c r="F82" s="338">
        <f>F80-F81</f>
        <v>0</v>
      </c>
      <c r="G82" s="338"/>
      <c r="I82" s="216"/>
      <c r="J82" s="232"/>
      <c r="K82" s="242"/>
      <c r="L82" s="232"/>
      <c r="M82" s="232"/>
      <c r="N82" s="232"/>
      <c r="O82" s="232"/>
      <c r="P82" s="232"/>
      <c r="Q82" s="242"/>
      <c r="R82" s="242"/>
      <c r="S82" s="232"/>
    </row>
    <row r="83" spans="2:19" ht="12.5">
      <c r="B83" s="232"/>
      <c r="C83" s="311"/>
      <c r="D83" s="240"/>
      <c r="E83" s="232"/>
      <c r="F83" s="338"/>
      <c r="G83" s="338"/>
      <c r="H83" s="232"/>
      <c r="I83" s="241"/>
      <c r="J83" s="232"/>
      <c r="K83" s="242"/>
      <c r="L83" s="232"/>
      <c r="M83" s="232"/>
      <c r="N83" s="232"/>
      <c r="O83" s="232"/>
      <c r="P83" s="232"/>
      <c r="Q83" s="242"/>
      <c r="R83" s="242"/>
      <c r="S83" s="232"/>
    </row>
    <row r="84" spans="2:19" ht="18">
      <c r="B84" s="302" t="s">
        <v>35</v>
      </c>
      <c r="C84" s="303" t="s">
        <v>36</v>
      </c>
      <c r="D84" s="240"/>
      <c r="E84" s="232"/>
      <c r="F84" s="338"/>
      <c r="G84" s="338"/>
      <c r="H84" s="232"/>
      <c r="I84" s="241"/>
      <c r="J84" s="232"/>
      <c r="K84" s="242"/>
      <c r="L84" s="232"/>
      <c r="M84" s="232"/>
      <c r="N84" s="232"/>
      <c r="O84" s="232"/>
      <c r="P84" s="232"/>
      <c r="Q84" s="242"/>
      <c r="R84" s="242"/>
      <c r="S84" s="232"/>
    </row>
    <row r="85" spans="2:19" ht="12.75" customHeight="1">
      <c r="B85" s="302"/>
      <c r="C85" s="303"/>
      <c r="D85" s="240"/>
      <c r="E85" s="232"/>
      <c r="F85" s="338"/>
      <c r="G85" s="338"/>
      <c r="H85" s="232"/>
      <c r="I85" s="241"/>
      <c r="J85" s="232"/>
      <c r="K85" s="242"/>
      <c r="L85" s="232"/>
      <c r="M85" s="232"/>
      <c r="N85" s="232"/>
      <c r="O85" s="232"/>
      <c r="P85" s="232"/>
      <c r="Q85" s="242"/>
      <c r="R85" s="242"/>
      <c r="S85" s="232"/>
    </row>
    <row r="86" spans="2:19" ht="12.75" customHeight="1">
      <c r="B86" s="302"/>
      <c r="C86" s="311" t="s">
        <v>37</v>
      </c>
      <c r="D86" s="240"/>
      <c r="F86" s="333">
        <f>R125</f>
        <v>1069907872</v>
      </c>
      <c r="G86" s="232" t="s">
        <v>283</v>
      </c>
      <c r="I86" s="241"/>
      <c r="J86" s="232"/>
      <c r="K86" s="242"/>
      <c r="L86" s="232"/>
      <c r="M86" s="232"/>
      <c r="N86" s="232"/>
      <c r="O86" s="232"/>
      <c r="P86" s="232"/>
      <c r="Q86" s="242"/>
      <c r="R86" s="242"/>
      <c r="S86" s="232"/>
    </row>
    <row r="87" spans="2:19" ht="12.75" customHeight="1">
      <c r="B87" s="302"/>
      <c r="C87" s="311" t="s">
        <v>38</v>
      </c>
      <c r="D87" s="240"/>
      <c r="F87" s="340">
        <f>R126</f>
        <v>1107616715</v>
      </c>
      <c r="G87" s="232" t="s">
        <v>283</v>
      </c>
      <c r="I87" s="241"/>
      <c r="J87" s="232"/>
      <c r="K87" s="242"/>
      <c r="L87" s="232"/>
      <c r="M87" s="232"/>
      <c r="N87" s="232"/>
      <c r="O87" s="232"/>
      <c r="P87" s="232"/>
      <c r="Q87" s="242"/>
      <c r="R87" s="242"/>
      <c r="S87" s="232"/>
    </row>
    <row r="88" spans="2:19" ht="12.75" customHeight="1">
      <c r="B88" s="302"/>
      <c r="C88" s="311"/>
      <c r="D88" s="240"/>
      <c r="F88" s="241">
        <f>+F87+F86</f>
        <v>2177524587</v>
      </c>
      <c r="G88" s="241"/>
      <c r="H88" s="232"/>
      <c r="I88" s="241"/>
      <c r="J88" s="232"/>
      <c r="K88" s="242"/>
      <c r="L88" s="232"/>
      <c r="M88" s="232"/>
      <c r="N88" s="232"/>
      <c r="O88" s="232"/>
      <c r="P88" s="232"/>
      <c r="Q88" s="242"/>
      <c r="R88" s="242"/>
      <c r="S88" s="232"/>
    </row>
    <row r="89" spans="2:19" ht="12.5">
      <c r="B89" s="232"/>
      <c r="C89" s="311" t="str">
        <f>+S127</f>
        <v>Transmission Plant Average Balance for 2018</v>
      </c>
      <c r="D89" s="295"/>
      <c r="E89" s="155"/>
      <c r="F89" s="322">
        <f>+F88/2</f>
        <v>1088762293.5</v>
      </c>
      <c r="G89" s="322"/>
      <c r="I89" s="241"/>
      <c r="J89" s="232"/>
      <c r="K89" s="242"/>
      <c r="L89" s="232"/>
      <c r="M89" s="232"/>
      <c r="N89" s="232"/>
      <c r="O89" s="232"/>
      <c r="P89" s="232"/>
      <c r="Q89" s="242"/>
      <c r="R89" s="242"/>
      <c r="S89" s="232"/>
    </row>
    <row r="90" spans="2:19" ht="12.5">
      <c r="B90" s="232"/>
      <c r="C90" s="247" t="str">
        <f>S128</f>
        <v>Annual Depreciation Expense  (True-Up TCOS, ln 82)</v>
      </c>
      <c r="D90" s="295"/>
      <c r="E90" s="329"/>
      <c r="F90" s="322">
        <f>R128</f>
        <v>26836591</v>
      </c>
      <c r="G90" s="322"/>
      <c r="I90" s="241"/>
      <c r="J90" s="232"/>
      <c r="K90" s="242"/>
      <c r="L90" s="232"/>
      <c r="M90" s="232"/>
      <c r="N90" s="232"/>
      <c r="O90" s="232"/>
      <c r="P90" s="232"/>
      <c r="Q90" s="242"/>
      <c r="R90" s="242"/>
      <c r="S90" s="232"/>
    </row>
    <row r="91" spans="2:19" ht="12.5">
      <c r="B91" s="232"/>
      <c r="C91" s="311" t="s">
        <v>39</v>
      </c>
      <c r="D91" s="240"/>
      <c r="E91" s="232"/>
      <c r="F91" s="338">
        <f>IF(F89=0,0,F90/F89)</f>
        <v>2.4648714563515511E-2</v>
      </c>
      <c r="G91" s="338"/>
      <c r="H91" s="232"/>
      <c r="I91" s="342"/>
      <c r="J91" s="232"/>
      <c r="K91" s="242"/>
      <c r="L91" s="232"/>
      <c r="M91" s="232"/>
      <c r="N91" s="232"/>
      <c r="O91" s="232"/>
      <c r="P91" s="232"/>
      <c r="Q91" s="242"/>
      <c r="R91" s="242"/>
      <c r="S91" s="232"/>
    </row>
    <row r="92" spans="2:19" ht="12.5">
      <c r="B92" s="232"/>
      <c r="C92" s="311" t="s">
        <v>40</v>
      </c>
      <c r="D92" s="240"/>
      <c r="E92" s="232"/>
      <c r="F92" s="343">
        <f>IF(F91=0,0,1/F91)</f>
        <v>40.570066947027662</v>
      </c>
      <c r="G92" s="343"/>
      <c r="H92" s="232"/>
      <c r="I92" s="241"/>
      <c r="J92" s="232"/>
      <c r="K92" s="242"/>
      <c r="L92" s="232"/>
      <c r="M92" s="232"/>
      <c r="N92" s="232"/>
      <c r="O92" s="232"/>
      <c r="P92" s="232"/>
      <c r="Q92" s="242"/>
      <c r="R92" s="242"/>
      <c r="S92" s="232"/>
    </row>
    <row r="93" spans="2:19" ht="12.5">
      <c r="B93" s="232"/>
      <c r="C93" s="311" t="s">
        <v>41</v>
      </c>
      <c r="D93" s="240"/>
      <c r="E93" s="232"/>
      <c r="F93" s="344">
        <f>ROUND(F92,0)</f>
        <v>41</v>
      </c>
      <c r="G93" s="344"/>
      <c r="H93" s="232"/>
      <c r="I93" s="241"/>
      <c r="J93" s="232"/>
      <c r="K93" s="242"/>
      <c r="L93" s="232"/>
      <c r="M93" s="232"/>
      <c r="N93" s="232"/>
      <c r="O93" s="232"/>
      <c r="P93" s="232"/>
      <c r="Q93" s="242"/>
      <c r="R93" s="242"/>
      <c r="S93" s="232"/>
    </row>
    <row r="94" spans="2:19" ht="12.5">
      <c r="B94" s="232"/>
      <c r="C94" s="311"/>
      <c r="D94" s="240"/>
      <c r="E94" s="232"/>
      <c r="F94" s="344"/>
      <c r="G94" s="344"/>
      <c r="H94" s="232"/>
      <c r="I94" s="241"/>
      <c r="J94" s="232"/>
      <c r="K94" s="242"/>
      <c r="L94" s="232"/>
      <c r="M94" s="232"/>
      <c r="N94" s="232"/>
      <c r="O94" s="232"/>
      <c r="P94" s="232"/>
      <c r="Q94" s="242"/>
      <c r="R94" s="242"/>
      <c r="S94" s="232"/>
    </row>
    <row r="95" spans="2:19" ht="12.5">
      <c r="B95" s="232"/>
      <c r="C95" s="311"/>
      <c r="D95" s="240"/>
      <c r="E95" s="232"/>
      <c r="F95" s="344"/>
      <c r="G95" s="344"/>
      <c r="H95" s="232"/>
      <c r="I95" s="241"/>
      <c r="J95" s="232"/>
      <c r="K95" s="242"/>
      <c r="L95" s="232"/>
      <c r="M95" s="232"/>
      <c r="N95" s="232"/>
      <c r="O95" s="232"/>
      <c r="P95" s="232"/>
      <c r="Q95" s="242"/>
      <c r="R95" s="242"/>
      <c r="S95" s="232"/>
    </row>
    <row r="96" spans="2:19" ht="12.5">
      <c r="B96" s="232"/>
      <c r="C96" s="311"/>
      <c r="D96" s="240"/>
      <c r="E96" s="232"/>
      <c r="F96" s="344"/>
      <c r="G96" s="344"/>
      <c r="H96" s="232"/>
      <c r="I96" s="241"/>
      <c r="J96" s="232"/>
      <c r="K96" s="242"/>
      <c r="L96" s="232"/>
      <c r="M96" s="232"/>
      <c r="N96" s="232"/>
      <c r="O96" s="232"/>
      <c r="P96" s="232"/>
      <c r="Q96" s="242"/>
      <c r="R96" s="242"/>
      <c r="S96" s="232"/>
    </row>
    <row r="97" spans="3:19" ht="13">
      <c r="C97" s="232"/>
      <c r="D97" s="240"/>
      <c r="E97" s="232"/>
      <c r="F97" s="232"/>
      <c r="G97" s="232"/>
      <c r="H97" s="232"/>
      <c r="I97" s="241"/>
      <c r="J97" s="232"/>
      <c r="K97" s="242"/>
      <c r="L97" s="232"/>
      <c r="M97" s="232"/>
      <c r="N97" s="232"/>
      <c r="O97" s="232"/>
      <c r="P97" s="232"/>
      <c r="Q97" s="242"/>
      <c r="R97" s="349" t="s">
        <v>126</v>
      </c>
      <c r="S97" s="233" t="s">
        <v>132</v>
      </c>
    </row>
    <row r="98" spans="3:19" ht="12.5">
      <c r="C98" s="232"/>
      <c r="D98" s="240"/>
      <c r="E98" s="232"/>
      <c r="F98" s="232"/>
      <c r="G98" s="232"/>
      <c r="H98" s="232"/>
      <c r="I98" s="241"/>
      <c r="J98" s="232"/>
      <c r="K98" s="242"/>
      <c r="L98" s="232"/>
      <c r="M98" s="232"/>
      <c r="N98" s="232"/>
      <c r="O98" s="232"/>
      <c r="P98" s="232"/>
      <c r="Q98" s="242"/>
    </row>
    <row r="99" spans="3:19" ht="13">
      <c r="C99" s="239" t="s">
        <v>122</v>
      </c>
      <c r="J99" s="195"/>
      <c r="L99" s="239" t="s">
        <v>121</v>
      </c>
      <c r="N99" s="232"/>
      <c r="O99" s="232"/>
      <c r="P99" s="232"/>
      <c r="Q99" s="242"/>
    </row>
    <row r="100" spans="3:19" ht="12.5">
      <c r="C100" s="232"/>
      <c r="D100" s="240"/>
      <c r="E100" s="232"/>
      <c r="F100" s="232"/>
      <c r="G100" s="232"/>
      <c r="H100" s="232"/>
      <c r="I100" s="241"/>
      <c r="J100" s="232"/>
      <c r="K100" s="242"/>
      <c r="L100" s="232"/>
      <c r="M100" s="232"/>
      <c r="N100" s="232"/>
      <c r="O100" s="232"/>
      <c r="P100" s="232"/>
      <c r="Q100" s="242"/>
      <c r="S100" s="233" t="s">
        <v>119</v>
      </c>
    </row>
    <row r="101" spans="3:19" ht="13">
      <c r="C101" s="232"/>
      <c r="D101" s="240"/>
      <c r="E101" s="232"/>
      <c r="F101" s="232"/>
      <c r="G101" s="232"/>
      <c r="H101" s="232"/>
      <c r="I101" s="241"/>
      <c r="J101" s="232"/>
      <c r="K101" s="242"/>
      <c r="L101" s="232"/>
      <c r="M101" s="232"/>
      <c r="N101" s="232"/>
      <c r="O101" s="232"/>
      <c r="P101" s="232"/>
      <c r="Q101" s="242"/>
      <c r="R101" s="349" t="s">
        <v>115</v>
      </c>
      <c r="S101" s="203" t="s">
        <v>135</v>
      </c>
    </row>
    <row r="102" spans="3:19" ht="13.5" thickBot="1">
      <c r="C102" s="232"/>
      <c r="D102" s="240"/>
      <c r="E102" s="232"/>
      <c r="F102" s="232"/>
      <c r="G102" s="232"/>
      <c r="H102" s="232"/>
      <c r="I102" s="241"/>
      <c r="J102" s="232"/>
      <c r="K102" s="242"/>
      <c r="L102" s="232"/>
      <c r="M102" s="232"/>
      <c r="N102" s="232"/>
      <c r="O102" s="232"/>
      <c r="P102" s="232"/>
      <c r="Q102" s="242"/>
      <c r="R102" s="350" t="s">
        <v>227</v>
      </c>
    </row>
    <row r="103" spans="3:19" ht="12.5">
      <c r="C103" s="232"/>
      <c r="D103" s="240"/>
      <c r="E103" s="232"/>
      <c r="F103" s="232"/>
      <c r="G103" s="232"/>
      <c r="H103" s="232"/>
      <c r="I103" s="241"/>
      <c r="J103" s="232"/>
      <c r="K103" s="242"/>
      <c r="L103" s="232"/>
      <c r="M103" s="232"/>
      <c r="N103" s="232"/>
      <c r="O103" s="232"/>
      <c r="P103" s="232"/>
      <c r="Q103" s="242"/>
      <c r="R103" s="402" t="s">
        <v>212</v>
      </c>
      <c r="S103" s="403" t="s">
        <v>143</v>
      </c>
    </row>
    <row r="104" spans="3:19" ht="12.5">
      <c r="C104" s="232"/>
      <c r="D104" s="240"/>
      <c r="E104" s="232"/>
      <c r="F104" s="232"/>
      <c r="G104" s="232"/>
      <c r="H104" s="232"/>
      <c r="I104" s="241"/>
      <c r="J104" s="232"/>
      <c r="K104" s="242"/>
      <c r="L104" s="232"/>
      <c r="M104" s="232"/>
      <c r="N104" s="232"/>
      <c r="O104" s="232"/>
      <c r="P104" s="232"/>
      <c r="Q104" s="242"/>
      <c r="R104" s="404">
        <v>2021</v>
      </c>
      <c r="S104" s="272" t="s">
        <v>94</v>
      </c>
    </row>
    <row r="105" spans="3:19" ht="12.5">
      <c r="C105" s="232"/>
      <c r="D105" s="240"/>
      <c r="E105" s="232"/>
      <c r="F105" s="232"/>
      <c r="G105" s="232"/>
      <c r="H105" s="232"/>
      <c r="I105" s="241"/>
      <c r="J105" s="232"/>
      <c r="K105" s="242"/>
      <c r="L105" s="232"/>
      <c r="M105" s="232"/>
      <c r="N105" s="232"/>
      <c r="O105" s="232"/>
      <c r="P105" s="232"/>
      <c r="Q105" s="242"/>
      <c r="R105" s="405">
        <v>0.105</v>
      </c>
      <c r="S105" s="354" t="s">
        <v>311</v>
      </c>
    </row>
    <row r="106" spans="3:19" ht="12.5">
      <c r="C106" s="232"/>
      <c r="D106" s="240"/>
      <c r="E106" s="232"/>
      <c r="F106" s="232"/>
      <c r="G106" s="232"/>
      <c r="H106" s="232"/>
      <c r="I106" s="241"/>
      <c r="J106" s="232"/>
      <c r="K106" s="242"/>
      <c r="L106" s="232"/>
      <c r="M106" s="232"/>
      <c r="N106" s="232"/>
      <c r="O106" s="232"/>
      <c r="P106" s="232"/>
      <c r="Q106" s="242"/>
      <c r="R106" s="406">
        <v>0</v>
      </c>
      <c r="S106" s="354" t="s">
        <v>1</v>
      </c>
    </row>
    <row r="107" spans="3:19" ht="12.5">
      <c r="C107" s="232"/>
      <c r="D107" s="240"/>
      <c r="E107" s="232"/>
      <c r="F107" s="232"/>
      <c r="G107" s="232"/>
      <c r="H107" s="232"/>
      <c r="I107" s="241"/>
      <c r="J107" s="232"/>
      <c r="K107" s="242"/>
      <c r="L107" s="232"/>
      <c r="M107" s="232"/>
      <c r="N107" s="232"/>
      <c r="O107" s="232"/>
      <c r="P107" s="232"/>
      <c r="Q107" s="242"/>
      <c r="R107" s="405">
        <v>0.45612323681704114</v>
      </c>
      <c r="S107" s="358" t="s">
        <v>109</v>
      </c>
    </row>
    <row r="108" spans="3:19" ht="12.5">
      <c r="C108" s="232"/>
      <c r="D108" s="240"/>
      <c r="E108" s="232"/>
      <c r="F108" s="232"/>
      <c r="G108" s="232"/>
      <c r="H108" s="232"/>
      <c r="I108" s="241"/>
      <c r="J108" s="232"/>
      <c r="K108" s="242"/>
      <c r="L108" s="232"/>
      <c r="M108" s="232"/>
      <c r="N108" s="232"/>
      <c r="O108" s="232"/>
      <c r="P108" s="232"/>
      <c r="Q108" s="242"/>
      <c r="R108" s="407">
        <v>3.4943152329142656E-2</v>
      </c>
      <c r="S108" s="358" t="s">
        <v>110</v>
      </c>
    </row>
    <row r="109" spans="3:19" ht="12.5">
      <c r="C109" s="232"/>
      <c r="D109" s="240"/>
      <c r="E109" s="232"/>
      <c r="F109" s="232"/>
      <c r="G109" s="232"/>
      <c r="H109" s="232"/>
      <c r="I109" s="241"/>
      <c r="J109" s="232"/>
      <c r="K109" s="242"/>
      <c r="L109" s="232"/>
      <c r="M109" s="232"/>
      <c r="N109" s="232"/>
      <c r="O109" s="232"/>
      <c r="P109" s="232"/>
      <c r="Q109" s="242"/>
      <c r="R109" s="405">
        <v>0</v>
      </c>
      <c r="S109" s="358" t="s">
        <v>111</v>
      </c>
    </row>
    <row r="110" spans="3:19" ht="12.5">
      <c r="C110" s="232"/>
      <c r="D110" s="240"/>
      <c r="E110" s="232"/>
      <c r="F110" s="232"/>
      <c r="G110" s="232"/>
      <c r="H110" s="232"/>
      <c r="I110" s="241"/>
      <c r="J110" s="232"/>
      <c r="K110" s="242"/>
      <c r="L110" s="232"/>
      <c r="M110" s="232"/>
      <c r="N110" s="232"/>
      <c r="O110" s="232"/>
      <c r="P110" s="232"/>
      <c r="Q110" s="242"/>
      <c r="R110" s="407">
        <v>0</v>
      </c>
      <c r="S110" s="358" t="s">
        <v>112</v>
      </c>
    </row>
    <row r="111" spans="3:19" ht="12.5">
      <c r="C111" s="232"/>
      <c r="D111" s="240"/>
      <c r="E111" s="232"/>
      <c r="F111" s="232"/>
      <c r="G111" s="232"/>
      <c r="H111" s="232"/>
      <c r="I111" s="241"/>
      <c r="J111" s="232"/>
      <c r="K111" s="242"/>
      <c r="L111" s="232"/>
      <c r="M111" s="232"/>
      <c r="N111" s="232"/>
      <c r="O111" s="232"/>
      <c r="P111" s="232"/>
      <c r="Q111" s="242"/>
      <c r="R111" s="405">
        <v>0.54387676318295886</v>
      </c>
      <c r="S111" s="359" t="s">
        <v>113</v>
      </c>
    </row>
    <row r="112" spans="3:19" ht="12.5">
      <c r="C112" s="232"/>
      <c r="D112" s="240"/>
      <c r="E112" s="232"/>
      <c r="F112" s="232"/>
      <c r="G112" s="232"/>
      <c r="H112" s="232"/>
      <c r="I112" s="241"/>
      <c r="J112" s="232"/>
      <c r="K112" s="242"/>
      <c r="L112" s="232"/>
      <c r="M112" s="232"/>
      <c r="N112" s="232"/>
      <c r="O112" s="232"/>
      <c r="P112" s="232"/>
      <c r="Q112" s="242"/>
      <c r="R112" s="360">
        <v>576614540.62033641</v>
      </c>
      <c r="S112" s="408" t="s">
        <v>232</v>
      </c>
    </row>
    <row r="113" spans="3:19" ht="12.5">
      <c r="C113" s="232"/>
      <c r="D113" s="240"/>
      <c r="E113" s="232"/>
      <c r="F113" s="232"/>
      <c r="G113" s="232"/>
      <c r="H113" s="232"/>
      <c r="I113" s="241"/>
      <c r="J113" s="232"/>
      <c r="K113" s="242"/>
      <c r="L113" s="232"/>
      <c r="M113" s="232"/>
      <c r="N113" s="232"/>
      <c r="O113" s="232"/>
      <c r="P113" s="232"/>
      <c r="Q113" s="242"/>
      <c r="R113" s="362">
        <v>0.25321299999999991</v>
      </c>
      <c r="S113" s="409" t="s">
        <v>312</v>
      </c>
    </row>
    <row r="114" spans="3:19" ht="12.5">
      <c r="C114" s="232"/>
      <c r="D114" s="240"/>
      <c r="E114" s="232"/>
      <c r="F114" s="232"/>
      <c r="G114" s="232"/>
      <c r="H114" s="232"/>
      <c r="I114" s="241"/>
      <c r="J114" s="232"/>
      <c r="K114" s="242"/>
      <c r="L114" s="232"/>
      <c r="M114" s="232"/>
      <c r="N114" s="232"/>
      <c r="O114" s="232"/>
      <c r="P114" s="232"/>
      <c r="Q114" s="242"/>
      <c r="R114" s="360">
        <v>-397904.12505828106</v>
      </c>
      <c r="S114" s="409" t="s">
        <v>313</v>
      </c>
    </row>
    <row r="115" spans="3:19" ht="12.5">
      <c r="C115" s="232"/>
      <c r="D115" s="240"/>
      <c r="E115" s="232"/>
      <c r="F115" s="232"/>
      <c r="G115" s="232"/>
      <c r="H115" s="232"/>
      <c r="I115" s="241"/>
      <c r="J115" s="232"/>
      <c r="K115" s="242"/>
      <c r="L115" s="232"/>
      <c r="M115" s="232"/>
      <c r="N115" s="232"/>
      <c r="O115" s="232"/>
      <c r="P115" s="232"/>
      <c r="Q115" s="242"/>
      <c r="R115" s="360">
        <v>-4796610.6158784227</v>
      </c>
      <c r="S115" s="410" t="s">
        <v>324</v>
      </c>
    </row>
    <row r="116" spans="3:19" ht="12.5">
      <c r="C116" s="232"/>
      <c r="D116" s="240"/>
      <c r="E116" s="232"/>
      <c r="F116" s="232"/>
      <c r="G116" s="232"/>
      <c r="H116" s="232"/>
      <c r="I116" s="241"/>
      <c r="J116" s="232"/>
      <c r="K116" s="242"/>
      <c r="L116" s="232"/>
      <c r="M116" s="232"/>
      <c r="N116" s="232"/>
      <c r="O116" s="232"/>
      <c r="P116" s="232"/>
      <c r="Q116" s="242"/>
      <c r="R116" s="360">
        <v>72099.192942565947</v>
      </c>
      <c r="S116" s="410" t="s">
        <v>325</v>
      </c>
    </row>
    <row r="117" spans="3:19" ht="12.5">
      <c r="C117" s="232"/>
      <c r="D117" s="240"/>
      <c r="E117" s="232"/>
      <c r="F117" s="232"/>
      <c r="G117" s="232"/>
      <c r="H117" s="232"/>
      <c r="I117" s="241"/>
      <c r="J117" s="232"/>
      <c r="K117" s="242"/>
      <c r="L117" s="232"/>
      <c r="M117" s="232"/>
      <c r="N117" s="232"/>
      <c r="O117" s="232"/>
      <c r="P117" s="232"/>
      <c r="Q117" s="242"/>
      <c r="R117" s="360">
        <v>101516645.5472271</v>
      </c>
      <c r="S117" s="409" t="s">
        <v>314</v>
      </c>
    </row>
    <row r="118" spans="3:19" ht="12.5">
      <c r="C118" s="232"/>
      <c r="D118" s="240"/>
      <c r="E118" s="232"/>
      <c r="F118" s="232"/>
      <c r="G118" s="232"/>
      <c r="H118" s="232"/>
      <c r="I118" s="241"/>
      <c r="J118" s="232"/>
      <c r="K118" s="242"/>
      <c r="L118" s="232"/>
      <c r="M118" s="232"/>
      <c r="N118" s="232"/>
      <c r="O118" s="232"/>
      <c r="P118" s="232"/>
      <c r="Q118" s="242"/>
      <c r="R118" s="360">
        <v>42119065.066796266</v>
      </c>
      <c r="S118" s="409" t="s">
        <v>315</v>
      </c>
    </row>
    <row r="119" spans="3:19" ht="12.5">
      <c r="C119" s="232"/>
      <c r="D119" s="240"/>
      <c r="E119" s="232"/>
      <c r="F119" s="232"/>
      <c r="G119" s="232"/>
      <c r="H119" s="232"/>
      <c r="I119" s="241"/>
      <c r="J119" s="232"/>
      <c r="K119" s="242"/>
      <c r="L119" s="232"/>
      <c r="M119" s="232"/>
      <c r="N119" s="232"/>
      <c r="O119" s="232"/>
      <c r="P119" s="232"/>
      <c r="Q119" s="242"/>
      <c r="R119" s="360">
        <v>6042736.5251513943</v>
      </c>
      <c r="S119" s="409" t="s">
        <v>316</v>
      </c>
    </row>
    <row r="120" spans="3:19" ht="12.5">
      <c r="C120" s="232"/>
      <c r="D120" s="240"/>
      <c r="E120" s="232"/>
      <c r="F120" s="232"/>
      <c r="G120" s="232"/>
      <c r="H120" s="232"/>
      <c r="I120" s="241"/>
      <c r="J120" s="232"/>
      <c r="K120" s="242"/>
      <c r="L120" s="232"/>
      <c r="M120" s="232"/>
      <c r="N120" s="232"/>
      <c r="O120" s="232"/>
      <c r="P120" s="232"/>
      <c r="Q120" s="242"/>
      <c r="R120" s="360">
        <v>0</v>
      </c>
      <c r="S120" s="409" t="s">
        <v>317</v>
      </c>
    </row>
    <row r="121" spans="3:19" ht="12.5">
      <c r="C121" s="232"/>
      <c r="D121" s="240"/>
      <c r="E121" s="232"/>
      <c r="F121" s="232"/>
      <c r="G121" s="232"/>
      <c r="H121" s="232"/>
      <c r="I121" s="241"/>
      <c r="J121" s="232"/>
      <c r="K121" s="242"/>
      <c r="L121" s="232"/>
      <c r="M121" s="232"/>
      <c r="N121" s="232"/>
      <c r="O121" s="232"/>
      <c r="P121" s="232"/>
      <c r="Q121" s="242"/>
      <c r="R121" s="360">
        <v>22302747.576007824</v>
      </c>
      <c r="S121" s="409" t="s">
        <v>318</v>
      </c>
    </row>
    <row r="122" spans="3:19" ht="12.5">
      <c r="C122" s="232"/>
      <c r="D122" s="240"/>
      <c r="E122" s="232"/>
      <c r="F122" s="232"/>
      <c r="G122" s="232"/>
      <c r="H122" s="232"/>
      <c r="I122" s="241"/>
      <c r="J122" s="232"/>
      <c r="K122" s="242"/>
      <c r="L122" s="232"/>
      <c r="M122" s="232"/>
      <c r="N122" s="232"/>
      <c r="O122" s="232"/>
      <c r="P122" s="232"/>
      <c r="Q122" s="242"/>
      <c r="R122" s="362">
        <v>0</v>
      </c>
      <c r="S122" s="409" t="s">
        <v>118</v>
      </c>
    </row>
    <row r="123" spans="3:19" ht="12.5">
      <c r="C123" s="232"/>
      <c r="D123" s="240"/>
      <c r="E123" s="232"/>
      <c r="F123" s="232"/>
      <c r="G123" s="232"/>
      <c r="H123" s="232"/>
      <c r="I123" s="241"/>
      <c r="J123" s="232"/>
      <c r="K123" s="242"/>
      <c r="L123" s="232"/>
      <c r="M123" s="232"/>
      <c r="N123" s="232"/>
      <c r="O123" s="232"/>
      <c r="P123" s="232"/>
      <c r="Q123" s="242"/>
      <c r="R123" s="360">
        <v>696124032.64692307</v>
      </c>
      <c r="S123" s="409" t="s">
        <v>233</v>
      </c>
    </row>
    <row r="124" spans="3:19" ht="12.5">
      <c r="C124" s="232"/>
      <c r="D124" s="240"/>
      <c r="E124" s="232"/>
      <c r="F124" s="232"/>
      <c r="G124" s="232"/>
      <c r="H124" s="232"/>
      <c r="I124" s="241"/>
      <c r="J124" s="232"/>
      <c r="K124" s="242"/>
      <c r="L124" s="232"/>
      <c r="M124" s="232"/>
      <c r="N124" s="232"/>
      <c r="O124" s="232"/>
      <c r="P124" s="232"/>
      <c r="Q124" s="242"/>
      <c r="R124" s="362">
        <v>0.11379279303146381</v>
      </c>
      <c r="S124" s="365" t="s">
        <v>234</v>
      </c>
    </row>
    <row r="125" spans="3:19" ht="12.5">
      <c r="C125" s="232"/>
      <c r="D125" s="240"/>
      <c r="E125" s="232"/>
      <c r="F125" s="232"/>
      <c r="G125" s="232"/>
      <c r="H125" s="232"/>
      <c r="I125" s="241"/>
      <c r="J125" s="232"/>
      <c r="K125" s="242"/>
      <c r="L125" s="232"/>
      <c r="M125" s="232"/>
      <c r="N125" s="232"/>
      <c r="O125" s="232"/>
      <c r="P125" s="232"/>
      <c r="Q125" s="242"/>
      <c r="R125" s="411">
        <v>1069907872</v>
      </c>
      <c r="S125" s="358" t="s">
        <v>37</v>
      </c>
    </row>
    <row r="126" spans="3:19" ht="12.5">
      <c r="C126" s="232"/>
      <c r="D126" s="240"/>
      <c r="E126" s="232"/>
      <c r="F126" s="232"/>
      <c r="G126" s="232"/>
      <c r="H126" s="232"/>
      <c r="I126" s="241"/>
      <c r="J126" s="232"/>
      <c r="K126" s="242"/>
      <c r="L126" s="232"/>
      <c r="M126" s="232"/>
      <c r="N126" s="232"/>
      <c r="O126" s="232"/>
      <c r="P126" s="232"/>
      <c r="Q126" s="242"/>
      <c r="R126" s="412">
        <v>1107616715</v>
      </c>
      <c r="S126" s="359" t="s">
        <v>38</v>
      </c>
    </row>
    <row r="127" spans="3:19" ht="12.5">
      <c r="C127" s="232"/>
      <c r="D127" s="240"/>
      <c r="E127" s="232"/>
      <c r="F127" s="232"/>
      <c r="G127" s="232"/>
      <c r="H127" s="232"/>
      <c r="I127" s="241"/>
      <c r="J127" s="232"/>
      <c r="K127" s="242"/>
      <c r="L127" s="232"/>
      <c r="M127" s="232"/>
      <c r="N127" s="232"/>
      <c r="O127" s="232"/>
      <c r="P127" s="232"/>
      <c r="Q127" s="242"/>
      <c r="R127" s="412">
        <v>1087305187</v>
      </c>
      <c r="S127" s="367" t="s">
        <v>323</v>
      </c>
    </row>
    <row r="128" spans="3:19" ht="13" thickBot="1">
      <c r="C128" s="232"/>
      <c r="D128" s="240"/>
      <c r="E128" s="232"/>
      <c r="F128" s="232"/>
      <c r="G128" s="232"/>
      <c r="H128" s="232"/>
      <c r="I128" s="241"/>
      <c r="J128" s="232"/>
      <c r="K128" s="242"/>
      <c r="L128" s="232"/>
      <c r="M128" s="232"/>
      <c r="N128" s="232"/>
      <c r="O128" s="232"/>
      <c r="P128" s="232"/>
      <c r="Q128" s="242"/>
      <c r="R128" s="413">
        <v>26836591</v>
      </c>
      <c r="S128" s="369" t="s">
        <v>319</v>
      </c>
    </row>
    <row r="129" spans="3:19" ht="12.5">
      <c r="C129" s="232"/>
      <c r="D129" s="240"/>
      <c r="E129" s="232"/>
      <c r="F129" s="232"/>
      <c r="G129" s="232"/>
      <c r="H129" s="232"/>
      <c r="I129" s="241"/>
      <c r="J129" s="232"/>
      <c r="K129" s="242"/>
      <c r="L129" s="232"/>
      <c r="M129" s="232"/>
      <c r="N129" s="232"/>
      <c r="O129" s="232"/>
      <c r="P129" s="232"/>
      <c r="Q129" s="242"/>
      <c r="R129" s="232"/>
      <c r="S129" s="232"/>
    </row>
    <row r="130" spans="3:19" ht="13">
      <c r="C130" s="232"/>
      <c r="D130" s="240"/>
      <c r="E130" s="232"/>
      <c r="F130" s="232"/>
      <c r="G130" s="232"/>
      <c r="H130" s="232"/>
      <c r="I130" s="241"/>
      <c r="J130" s="232"/>
      <c r="K130" s="242"/>
      <c r="L130" s="232"/>
      <c r="M130" s="232"/>
      <c r="N130" s="232"/>
      <c r="O130" s="232"/>
      <c r="P130" s="232"/>
      <c r="Q130" s="242"/>
      <c r="R130" s="349" t="s">
        <v>116</v>
      </c>
      <c r="S130" s="232" t="s">
        <v>130</v>
      </c>
    </row>
    <row r="131" spans="3:19" ht="13.5" thickBot="1">
      <c r="C131" s="232"/>
      <c r="D131" s="240"/>
      <c r="E131" s="232"/>
      <c r="F131" s="232"/>
      <c r="G131" s="232"/>
      <c r="H131" s="232"/>
      <c r="I131" s="241"/>
      <c r="J131" s="232"/>
      <c r="K131" s="242"/>
      <c r="L131" s="232"/>
      <c r="M131" s="232"/>
      <c r="N131" s="232"/>
      <c r="O131" s="232"/>
      <c r="P131" s="232"/>
      <c r="Q131" s="242"/>
      <c r="R131" s="350" t="s">
        <v>134</v>
      </c>
      <c r="S131" s="232"/>
    </row>
    <row r="132" spans="3:19" ht="12.5">
      <c r="C132" s="232"/>
      <c r="D132" s="240"/>
      <c r="E132" s="232"/>
      <c r="F132" s="232"/>
      <c r="G132" s="232"/>
      <c r="H132" s="232"/>
      <c r="I132" s="241"/>
      <c r="J132" s="232"/>
      <c r="K132" s="242"/>
      <c r="L132" s="232"/>
      <c r="M132" s="232"/>
      <c r="N132" s="232"/>
      <c r="O132" s="232"/>
      <c r="P132" s="232"/>
      <c r="Q132" s="242"/>
      <c r="R132" s="370">
        <v>8270466.4672365077</v>
      </c>
      <c r="S132" s="148" t="s">
        <v>136</v>
      </c>
    </row>
    <row r="133" spans="3:19" ht="12.5">
      <c r="C133" s="232"/>
      <c r="D133" s="240"/>
      <c r="E133" s="232"/>
      <c r="F133" s="232"/>
      <c r="G133" s="232"/>
      <c r="H133" s="232"/>
      <c r="I133" s="241"/>
      <c r="J133" s="232"/>
      <c r="K133" s="242"/>
      <c r="L133" s="232"/>
      <c r="M133" s="232"/>
      <c r="N133" s="232"/>
      <c r="O133" s="232"/>
      <c r="P133" s="232"/>
      <c r="Q133" s="242"/>
      <c r="R133" s="371">
        <v>8270466.4672365077</v>
      </c>
      <c r="S133" s="148" t="s">
        <v>137</v>
      </c>
    </row>
    <row r="134" spans="3:19" ht="12.5">
      <c r="C134" s="232"/>
      <c r="D134" s="240"/>
      <c r="E134" s="232"/>
      <c r="F134" s="232"/>
      <c r="G134" s="232"/>
      <c r="H134" s="232"/>
      <c r="I134" s="241"/>
      <c r="J134" s="232"/>
      <c r="K134" s="242"/>
      <c r="L134" s="232"/>
      <c r="M134" s="232"/>
      <c r="N134" s="232"/>
      <c r="O134" s="232"/>
      <c r="P134" s="232"/>
      <c r="Q134" s="242"/>
      <c r="R134" s="414">
        <v>8678780.3721792269</v>
      </c>
      <c r="S134" s="148" t="s">
        <v>138</v>
      </c>
    </row>
    <row r="135" spans="3:19" ht="13" thickBot="1">
      <c r="C135" s="232"/>
      <c r="D135" s="240"/>
      <c r="E135" s="232"/>
      <c r="F135" s="232"/>
      <c r="G135" s="232"/>
      <c r="H135" s="232"/>
      <c r="I135" s="241"/>
      <c r="J135" s="232"/>
      <c r="K135" s="242"/>
      <c r="L135" s="232"/>
      <c r="M135" s="232"/>
      <c r="N135" s="232"/>
      <c r="O135" s="232"/>
      <c r="P135" s="232"/>
      <c r="Q135" s="242"/>
      <c r="R135" s="372">
        <v>8678780.3721792269</v>
      </c>
      <c r="S135" s="148" t="s">
        <v>139</v>
      </c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2"/>
  <sheetViews>
    <sheetView zoomScale="85" zoomScaleNormal="8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27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685298.8633650993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685298.8633650993</v>
      </c>
      <c r="O6" s="232"/>
      <c r="P6" s="232"/>
    </row>
    <row r="7" spans="1:16" ht="13.5" thickBot="1">
      <c r="C7" s="431" t="s">
        <v>46</v>
      </c>
      <c r="D7" s="619" t="s">
        <v>333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335</v>
      </c>
      <c r="E9" s="623" t="s">
        <v>337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5058588.62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129707.40051282052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2019</v>
      </c>
      <c r="D17" s="584">
        <v>0</v>
      </c>
      <c r="E17" s="585">
        <v>0</v>
      </c>
      <c r="F17" s="584">
        <v>4120000</v>
      </c>
      <c r="G17" s="585">
        <v>230012.66047295602</v>
      </c>
      <c r="H17" s="587">
        <v>230012.66047295602</v>
      </c>
      <c r="I17" s="475">
        <f>H17-G17</f>
        <v>0</v>
      </c>
      <c r="J17" s="475"/>
      <c r="K17" s="554">
        <f>+G17</f>
        <v>230012.66047295602</v>
      </c>
      <c r="L17" s="477">
        <f t="shared" ref="L17:L18" si="0">IF(K17&lt;&gt;0,+G17-K17,0)</f>
        <v>0</v>
      </c>
      <c r="M17" s="554">
        <f>+H17</f>
        <v>230012.66047295602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2020</v>
      </c>
      <c r="D18" s="584">
        <v>4236000</v>
      </c>
      <c r="E18" s="585">
        <v>100857.14285714286</v>
      </c>
      <c r="F18" s="584">
        <v>4135142.8571428573</v>
      </c>
      <c r="G18" s="585">
        <v>552918.85124067403</v>
      </c>
      <c r="H18" s="587">
        <v>552918.85124067403</v>
      </c>
      <c r="I18" s="475">
        <f>H18-G18</f>
        <v>0</v>
      </c>
      <c r="J18" s="475"/>
      <c r="K18" s="478">
        <f>+G18</f>
        <v>552918.85124067403</v>
      </c>
      <c r="L18" s="478">
        <f t="shared" si="0"/>
        <v>0</v>
      </c>
      <c r="M18" s="478">
        <f>+H18</f>
        <v>552918.85124067403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2021</v>
      </c>
      <c r="D19" s="584">
        <v>4957664.8571428573</v>
      </c>
      <c r="E19" s="585">
        <v>117640.04651162791</v>
      </c>
      <c r="F19" s="584">
        <v>4840024.8106312295</v>
      </c>
      <c r="G19" s="585">
        <v>645841.5888943586</v>
      </c>
      <c r="H19" s="587">
        <v>645841.5888943586</v>
      </c>
      <c r="I19" s="475">
        <f t="shared" ref="I19:I71" si="3">H19-G19</f>
        <v>0</v>
      </c>
      <c r="J19" s="475"/>
      <c r="K19" s="478">
        <f>+G19</f>
        <v>645841.5888943586</v>
      </c>
      <c r="L19" s="478">
        <f t="shared" ref="L19" si="4">IF(K19&lt;&gt;0,+G19-K19,0)</f>
        <v>0</v>
      </c>
      <c r="M19" s="478">
        <f>+H19</f>
        <v>645841.5888943586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2022</v>
      </c>
      <c r="D20" s="584">
        <v>4840091.8106312295</v>
      </c>
      <c r="E20" s="585">
        <v>120442.59523809524</v>
      </c>
      <c r="F20" s="584">
        <v>4719649.2153931344</v>
      </c>
      <c r="G20" s="585">
        <v>635766.39004328649</v>
      </c>
      <c r="H20" s="587">
        <v>635766.39004328649</v>
      </c>
      <c r="I20" s="475">
        <f t="shared" si="3"/>
        <v>0</v>
      </c>
      <c r="J20" s="475"/>
      <c r="K20" s="478">
        <f>+G20</f>
        <v>635766.39004328649</v>
      </c>
      <c r="L20" s="478">
        <f t="shared" ref="L20" si="6">IF(K20&lt;&gt;0,+G20-K20,0)</f>
        <v>0</v>
      </c>
      <c r="M20" s="478">
        <f>+H20</f>
        <v>635766.39004328649</v>
      </c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>IU</v>
      </c>
      <c r="C21" s="472">
        <f>IF(D11="","-",+C20+1)</f>
        <v>2023</v>
      </c>
      <c r="D21" s="483">
        <f>IF(F20+SUM(E$17:E20)=D$10,F20,D$10-SUM(E$17:E20))</f>
        <v>4719648.8353931345</v>
      </c>
      <c r="E21" s="484">
        <f t="shared" ref="E21:E71" si="7">IF(+I$14&lt;F20,I$14,D21)</f>
        <v>129707.40051282052</v>
      </c>
      <c r="F21" s="485">
        <f t="shared" ref="F21:F71" si="8">+D21-E21</f>
        <v>4589941.4348803144</v>
      </c>
      <c r="G21" s="486">
        <f t="shared" ref="G21:G71" si="9">(D21+F21)/2*I$12+E21</f>
        <v>685298.8633650993</v>
      </c>
      <c r="H21" s="455">
        <f t="shared" ref="H21:H71" si="10">+(D21+F21)/2*I$13+E21</f>
        <v>685298.8633650993</v>
      </c>
      <c r="I21" s="475">
        <f t="shared" si="3"/>
        <v>0</v>
      </c>
      <c r="J21" s="475"/>
      <c r="K21" s="487"/>
      <c r="L21" s="478">
        <f t="shared" ref="L21:L72" si="11">IF(K21&lt;&gt;0,+G21-K21,0)</f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4589941.4348803144</v>
      </c>
      <c r="E22" s="484">
        <f t="shared" si="7"/>
        <v>129707.40051282052</v>
      </c>
      <c r="F22" s="485">
        <f t="shared" si="8"/>
        <v>4460234.0343674943</v>
      </c>
      <c r="G22" s="486">
        <f t="shared" si="9"/>
        <v>669817.12414746825</v>
      </c>
      <c r="H22" s="455">
        <f t="shared" si="10"/>
        <v>669817.12414746825</v>
      </c>
      <c r="I22" s="475">
        <f t="shared" si="3"/>
        <v>0</v>
      </c>
      <c r="J22" s="475"/>
      <c r="K22" s="487"/>
      <c r="L22" s="478">
        <f t="shared" si="11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4460234.0343674943</v>
      </c>
      <c r="E23" s="484">
        <f t="shared" si="7"/>
        <v>129707.40051282052</v>
      </c>
      <c r="F23" s="485">
        <f t="shared" si="8"/>
        <v>4330526.6338546742</v>
      </c>
      <c r="G23" s="486">
        <f t="shared" si="9"/>
        <v>654335.38492983719</v>
      </c>
      <c r="H23" s="455">
        <f t="shared" si="10"/>
        <v>654335.38492983719</v>
      </c>
      <c r="I23" s="475">
        <f t="shared" si="3"/>
        <v>0</v>
      </c>
      <c r="J23" s="475"/>
      <c r="K23" s="487"/>
      <c r="L23" s="478">
        <f t="shared" si="11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4330526.6338546742</v>
      </c>
      <c r="E24" s="484">
        <f t="shared" si="7"/>
        <v>129707.40051282052</v>
      </c>
      <c r="F24" s="485">
        <f t="shared" si="8"/>
        <v>4200819.2333418541</v>
      </c>
      <c r="G24" s="486">
        <f t="shared" si="9"/>
        <v>638853.64571220626</v>
      </c>
      <c r="H24" s="455">
        <f t="shared" si="10"/>
        <v>638853.64571220626</v>
      </c>
      <c r="I24" s="475">
        <f t="shared" si="3"/>
        <v>0</v>
      </c>
      <c r="J24" s="475"/>
      <c r="K24" s="487"/>
      <c r="L24" s="478">
        <f t="shared" si="11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4200819.2333418541</v>
      </c>
      <c r="E25" s="484">
        <f t="shared" si="7"/>
        <v>129707.40051282052</v>
      </c>
      <c r="F25" s="485">
        <f t="shared" si="8"/>
        <v>4071111.8328290335</v>
      </c>
      <c r="G25" s="486">
        <f t="shared" si="9"/>
        <v>623371.90649457532</v>
      </c>
      <c r="H25" s="455">
        <f t="shared" si="10"/>
        <v>623371.90649457532</v>
      </c>
      <c r="I25" s="475">
        <f t="shared" si="3"/>
        <v>0</v>
      </c>
      <c r="J25" s="475"/>
      <c r="K25" s="487"/>
      <c r="L25" s="478">
        <f t="shared" si="11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4071111.8328290335</v>
      </c>
      <c r="E26" s="484">
        <f t="shared" si="7"/>
        <v>129707.40051282052</v>
      </c>
      <c r="F26" s="485">
        <f t="shared" si="8"/>
        <v>3941404.4323162129</v>
      </c>
      <c r="G26" s="486">
        <f t="shared" si="9"/>
        <v>607890.16727694427</v>
      </c>
      <c r="H26" s="455">
        <f t="shared" si="10"/>
        <v>607890.16727694427</v>
      </c>
      <c r="I26" s="475">
        <f t="shared" si="3"/>
        <v>0</v>
      </c>
      <c r="J26" s="475"/>
      <c r="K26" s="487"/>
      <c r="L26" s="478">
        <f t="shared" si="11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3941404.4323162129</v>
      </c>
      <c r="E27" s="484">
        <f t="shared" si="7"/>
        <v>129707.40051282052</v>
      </c>
      <c r="F27" s="485">
        <f t="shared" si="8"/>
        <v>3811697.0318033923</v>
      </c>
      <c r="G27" s="486">
        <f t="shared" si="9"/>
        <v>592408.42805931321</v>
      </c>
      <c r="H27" s="455">
        <f t="shared" si="10"/>
        <v>592408.42805931321</v>
      </c>
      <c r="I27" s="475">
        <f t="shared" si="3"/>
        <v>0</v>
      </c>
      <c r="J27" s="475"/>
      <c r="K27" s="487"/>
      <c r="L27" s="478">
        <f t="shared" si="11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3811697.0318033923</v>
      </c>
      <c r="E28" s="484">
        <f t="shared" si="7"/>
        <v>129707.40051282052</v>
      </c>
      <c r="F28" s="485">
        <f t="shared" si="8"/>
        <v>3681989.6312905718</v>
      </c>
      <c r="G28" s="486">
        <f t="shared" si="9"/>
        <v>576926.68884168216</v>
      </c>
      <c r="H28" s="455">
        <f t="shared" si="10"/>
        <v>576926.68884168216</v>
      </c>
      <c r="I28" s="475">
        <f t="shared" si="3"/>
        <v>0</v>
      </c>
      <c r="J28" s="475"/>
      <c r="K28" s="487"/>
      <c r="L28" s="478">
        <f t="shared" si="11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3681989.6312905718</v>
      </c>
      <c r="E29" s="484">
        <f t="shared" si="7"/>
        <v>129707.40051282052</v>
      </c>
      <c r="F29" s="485">
        <f t="shared" si="8"/>
        <v>3552282.2307777512</v>
      </c>
      <c r="G29" s="486">
        <f t="shared" si="9"/>
        <v>561444.94962405111</v>
      </c>
      <c r="H29" s="455">
        <f t="shared" si="10"/>
        <v>561444.94962405111</v>
      </c>
      <c r="I29" s="475">
        <f t="shared" si="3"/>
        <v>0</v>
      </c>
      <c r="J29" s="475"/>
      <c r="K29" s="487"/>
      <c r="L29" s="478">
        <f t="shared" si="11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3552282.2307777512</v>
      </c>
      <c r="E30" s="484">
        <f t="shared" si="7"/>
        <v>129707.40051282052</v>
      </c>
      <c r="F30" s="485">
        <f t="shared" si="8"/>
        <v>3422574.8302649306</v>
      </c>
      <c r="G30" s="486">
        <f t="shared" si="9"/>
        <v>545963.21040642005</v>
      </c>
      <c r="H30" s="455">
        <f t="shared" si="10"/>
        <v>545963.21040642005</v>
      </c>
      <c r="I30" s="475">
        <f t="shared" si="3"/>
        <v>0</v>
      </c>
      <c r="J30" s="475"/>
      <c r="K30" s="487"/>
      <c r="L30" s="478">
        <f t="shared" si="11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3422574.8302649306</v>
      </c>
      <c r="E31" s="484">
        <f t="shared" si="7"/>
        <v>129707.40051282052</v>
      </c>
      <c r="F31" s="485">
        <f t="shared" si="8"/>
        <v>3292867.42975211</v>
      </c>
      <c r="G31" s="486">
        <f t="shared" si="9"/>
        <v>530481.471188789</v>
      </c>
      <c r="H31" s="455">
        <f t="shared" si="10"/>
        <v>530481.471188789</v>
      </c>
      <c r="I31" s="475">
        <f t="shared" si="3"/>
        <v>0</v>
      </c>
      <c r="J31" s="475"/>
      <c r="K31" s="487"/>
      <c r="L31" s="478">
        <f t="shared" si="11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3292867.42975211</v>
      </c>
      <c r="E32" s="484">
        <f t="shared" si="7"/>
        <v>129707.40051282052</v>
      </c>
      <c r="F32" s="485">
        <f t="shared" si="8"/>
        <v>3163160.0292392895</v>
      </c>
      <c r="G32" s="486">
        <f t="shared" si="9"/>
        <v>514999.73197115795</v>
      </c>
      <c r="H32" s="455">
        <f t="shared" si="10"/>
        <v>514999.73197115795</v>
      </c>
      <c r="I32" s="475">
        <f t="shared" si="3"/>
        <v>0</v>
      </c>
      <c r="J32" s="475"/>
      <c r="K32" s="487"/>
      <c r="L32" s="478">
        <f t="shared" si="11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3163160.0292392895</v>
      </c>
      <c r="E33" s="484">
        <f t="shared" si="7"/>
        <v>129707.40051282052</v>
      </c>
      <c r="F33" s="485">
        <f t="shared" si="8"/>
        <v>3033452.6287264689</v>
      </c>
      <c r="G33" s="486">
        <f t="shared" si="9"/>
        <v>499517.99275352701</v>
      </c>
      <c r="H33" s="455">
        <f t="shared" si="10"/>
        <v>499517.99275352701</v>
      </c>
      <c r="I33" s="475">
        <f t="shared" si="3"/>
        <v>0</v>
      </c>
      <c r="J33" s="475"/>
      <c r="K33" s="487"/>
      <c r="L33" s="478">
        <f t="shared" si="11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3033452.6287264689</v>
      </c>
      <c r="E34" s="484">
        <f t="shared" si="7"/>
        <v>129707.40051282052</v>
      </c>
      <c r="F34" s="485">
        <f t="shared" si="8"/>
        <v>2903745.2282136483</v>
      </c>
      <c r="G34" s="486">
        <f t="shared" si="9"/>
        <v>484036.2535358959</v>
      </c>
      <c r="H34" s="455">
        <f t="shared" si="10"/>
        <v>484036.2535358959</v>
      </c>
      <c r="I34" s="475">
        <f t="shared" si="3"/>
        <v>0</v>
      </c>
      <c r="J34" s="475"/>
      <c r="K34" s="487"/>
      <c r="L34" s="478">
        <f t="shared" si="11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2903745.2282136483</v>
      </c>
      <c r="E35" s="484">
        <f t="shared" si="7"/>
        <v>129707.40051282052</v>
      </c>
      <c r="F35" s="485">
        <f t="shared" si="8"/>
        <v>2774037.8277008277</v>
      </c>
      <c r="G35" s="486">
        <f t="shared" si="9"/>
        <v>468554.5143182649</v>
      </c>
      <c r="H35" s="455">
        <f t="shared" si="10"/>
        <v>468554.5143182649</v>
      </c>
      <c r="I35" s="475">
        <f t="shared" si="3"/>
        <v>0</v>
      </c>
      <c r="J35" s="475"/>
      <c r="K35" s="487"/>
      <c r="L35" s="478">
        <f t="shared" si="11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2774037.8277008277</v>
      </c>
      <c r="E36" s="484">
        <f t="shared" si="7"/>
        <v>129707.40051282052</v>
      </c>
      <c r="F36" s="485">
        <f t="shared" si="8"/>
        <v>2644330.4271880072</v>
      </c>
      <c r="G36" s="486">
        <f t="shared" si="9"/>
        <v>453072.77510063379</v>
      </c>
      <c r="H36" s="455">
        <f t="shared" si="10"/>
        <v>453072.77510063379</v>
      </c>
      <c r="I36" s="475">
        <f t="shared" si="3"/>
        <v>0</v>
      </c>
      <c r="J36" s="475"/>
      <c r="K36" s="487"/>
      <c r="L36" s="478">
        <f t="shared" si="11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2644330.4271880072</v>
      </c>
      <c r="E37" s="484">
        <f t="shared" si="7"/>
        <v>129707.40051282052</v>
      </c>
      <c r="F37" s="485">
        <f t="shared" si="8"/>
        <v>2514623.0266751866</v>
      </c>
      <c r="G37" s="486">
        <f t="shared" si="9"/>
        <v>437591.03588300286</v>
      </c>
      <c r="H37" s="455">
        <f t="shared" si="10"/>
        <v>437591.03588300286</v>
      </c>
      <c r="I37" s="475">
        <f t="shared" si="3"/>
        <v>0</v>
      </c>
      <c r="J37" s="475"/>
      <c r="K37" s="487"/>
      <c r="L37" s="478">
        <f t="shared" si="11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2514623.0266751866</v>
      </c>
      <c r="E38" s="484">
        <f t="shared" si="7"/>
        <v>129707.40051282052</v>
      </c>
      <c r="F38" s="485">
        <f t="shared" si="8"/>
        <v>2384915.626162366</v>
      </c>
      <c r="G38" s="486">
        <f t="shared" si="9"/>
        <v>422109.29666537174</v>
      </c>
      <c r="H38" s="455">
        <f t="shared" si="10"/>
        <v>422109.29666537174</v>
      </c>
      <c r="I38" s="475">
        <f t="shared" si="3"/>
        <v>0</v>
      </c>
      <c r="J38" s="475"/>
      <c r="K38" s="487"/>
      <c r="L38" s="478">
        <f t="shared" si="11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2384915.626162366</v>
      </c>
      <c r="E39" s="484">
        <f t="shared" si="7"/>
        <v>129707.40051282052</v>
      </c>
      <c r="F39" s="485">
        <f t="shared" si="8"/>
        <v>2255208.2256495454</v>
      </c>
      <c r="G39" s="486">
        <f t="shared" si="9"/>
        <v>406627.55744774075</v>
      </c>
      <c r="H39" s="455">
        <f t="shared" si="10"/>
        <v>406627.55744774075</v>
      </c>
      <c r="I39" s="475">
        <f t="shared" si="3"/>
        <v>0</v>
      </c>
      <c r="J39" s="475"/>
      <c r="K39" s="487"/>
      <c r="L39" s="478">
        <f t="shared" si="11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2255208.2256495454</v>
      </c>
      <c r="E40" s="484">
        <f t="shared" si="7"/>
        <v>129707.40051282052</v>
      </c>
      <c r="F40" s="485">
        <f t="shared" si="8"/>
        <v>2125500.8251367249</v>
      </c>
      <c r="G40" s="486">
        <f t="shared" si="9"/>
        <v>391145.81823010964</v>
      </c>
      <c r="H40" s="455">
        <f t="shared" si="10"/>
        <v>391145.81823010964</v>
      </c>
      <c r="I40" s="475">
        <f t="shared" si="3"/>
        <v>0</v>
      </c>
      <c r="J40" s="475"/>
      <c r="K40" s="487"/>
      <c r="L40" s="478">
        <f t="shared" si="11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2125500.8251367249</v>
      </c>
      <c r="E41" s="484">
        <f t="shared" si="7"/>
        <v>129707.40051282052</v>
      </c>
      <c r="F41" s="485">
        <f t="shared" si="8"/>
        <v>1995793.4246239043</v>
      </c>
      <c r="G41" s="486">
        <f t="shared" si="9"/>
        <v>375664.0790124787</v>
      </c>
      <c r="H41" s="455">
        <f t="shared" si="10"/>
        <v>375664.0790124787</v>
      </c>
      <c r="I41" s="475">
        <f t="shared" si="3"/>
        <v>0</v>
      </c>
      <c r="J41" s="475"/>
      <c r="K41" s="487"/>
      <c r="L41" s="478">
        <f t="shared" si="11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1995793.4246239043</v>
      </c>
      <c r="E42" s="484">
        <f t="shared" si="7"/>
        <v>129707.40051282052</v>
      </c>
      <c r="F42" s="485">
        <f t="shared" si="8"/>
        <v>1866086.0241110837</v>
      </c>
      <c r="G42" s="486">
        <f t="shared" si="9"/>
        <v>360182.33979484765</v>
      </c>
      <c r="H42" s="455">
        <f t="shared" si="10"/>
        <v>360182.33979484765</v>
      </c>
      <c r="I42" s="475">
        <f t="shared" si="3"/>
        <v>0</v>
      </c>
      <c r="J42" s="475"/>
      <c r="K42" s="487"/>
      <c r="L42" s="478">
        <f t="shared" si="11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1866086.0241110837</v>
      </c>
      <c r="E43" s="484">
        <f t="shared" si="7"/>
        <v>129707.40051282052</v>
      </c>
      <c r="F43" s="485">
        <f t="shared" si="8"/>
        <v>1736378.6235982631</v>
      </c>
      <c r="G43" s="486">
        <f t="shared" si="9"/>
        <v>344700.6005772166</v>
      </c>
      <c r="H43" s="455">
        <f t="shared" si="10"/>
        <v>344700.6005772166</v>
      </c>
      <c r="I43" s="475">
        <f t="shared" si="3"/>
        <v>0</v>
      </c>
      <c r="J43" s="475"/>
      <c r="K43" s="487"/>
      <c r="L43" s="478">
        <f t="shared" si="11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1736378.6235982631</v>
      </c>
      <c r="E44" s="484">
        <f t="shared" si="7"/>
        <v>129707.40051282052</v>
      </c>
      <c r="F44" s="485">
        <f t="shared" si="8"/>
        <v>1606671.2230854426</v>
      </c>
      <c r="G44" s="486">
        <f t="shared" si="9"/>
        <v>329218.86135958554</v>
      </c>
      <c r="H44" s="455">
        <f t="shared" si="10"/>
        <v>329218.86135958554</v>
      </c>
      <c r="I44" s="475">
        <f t="shared" si="3"/>
        <v>0</v>
      </c>
      <c r="J44" s="475"/>
      <c r="K44" s="487"/>
      <c r="L44" s="478">
        <f t="shared" si="11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1606671.2230854426</v>
      </c>
      <c r="E45" s="484">
        <f t="shared" si="7"/>
        <v>129707.40051282052</v>
      </c>
      <c r="F45" s="485">
        <f t="shared" si="8"/>
        <v>1476963.822572622</v>
      </c>
      <c r="G45" s="486">
        <f t="shared" si="9"/>
        <v>313737.12214195449</v>
      </c>
      <c r="H45" s="455">
        <f t="shared" si="10"/>
        <v>313737.12214195449</v>
      </c>
      <c r="I45" s="475">
        <f t="shared" si="3"/>
        <v>0</v>
      </c>
      <c r="J45" s="475"/>
      <c r="K45" s="487"/>
      <c r="L45" s="478">
        <f t="shared" si="11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1476963.822572622</v>
      </c>
      <c r="E46" s="484">
        <f t="shared" si="7"/>
        <v>129707.40051282052</v>
      </c>
      <c r="F46" s="485">
        <f t="shared" si="8"/>
        <v>1347256.4220598014</v>
      </c>
      <c r="G46" s="486">
        <f t="shared" si="9"/>
        <v>298255.38292432349</v>
      </c>
      <c r="H46" s="455">
        <f t="shared" si="10"/>
        <v>298255.38292432349</v>
      </c>
      <c r="I46" s="475">
        <f t="shared" si="3"/>
        <v>0</v>
      </c>
      <c r="J46" s="475"/>
      <c r="K46" s="487"/>
      <c r="L46" s="478">
        <f t="shared" si="11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1347256.4220598014</v>
      </c>
      <c r="E47" s="484">
        <f t="shared" si="7"/>
        <v>129707.40051282052</v>
      </c>
      <c r="F47" s="485">
        <f t="shared" si="8"/>
        <v>1217549.0215469808</v>
      </c>
      <c r="G47" s="486">
        <f t="shared" si="9"/>
        <v>282773.64370669244</v>
      </c>
      <c r="H47" s="455">
        <f t="shared" si="10"/>
        <v>282773.64370669244</v>
      </c>
      <c r="I47" s="475">
        <f t="shared" si="3"/>
        <v>0</v>
      </c>
      <c r="J47" s="475"/>
      <c r="K47" s="487"/>
      <c r="L47" s="478">
        <f t="shared" si="11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1217549.0215469808</v>
      </c>
      <c r="E48" s="484">
        <f t="shared" si="7"/>
        <v>129707.40051282052</v>
      </c>
      <c r="F48" s="485">
        <f t="shared" si="8"/>
        <v>1087841.6210341603</v>
      </c>
      <c r="G48" s="486">
        <f t="shared" si="9"/>
        <v>267291.90448906145</v>
      </c>
      <c r="H48" s="455">
        <f t="shared" si="10"/>
        <v>267291.90448906145</v>
      </c>
      <c r="I48" s="475">
        <f t="shared" si="3"/>
        <v>0</v>
      </c>
      <c r="J48" s="475"/>
      <c r="K48" s="487"/>
      <c r="L48" s="478">
        <f t="shared" si="11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1087841.6210341603</v>
      </c>
      <c r="E49" s="484">
        <f t="shared" si="7"/>
        <v>129707.40051282052</v>
      </c>
      <c r="F49" s="485">
        <f t="shared" si="8"/>
        <v>958134.22052133968</v>
      </c>
      <c r="G49" s="486">
        <f t="shared" si="9"/>
        <v>251810.16527143039</v>
      </c>
      <c r="H49" s="455">
        <f t="shared" si="10"/>
        <v>251810.16527143039</v>
      </c>
      <c r="I49" s="475">
        <f t="shared" si="3"/>
        <v>0</v>
      </c>
      <c r="J49" s="475"/>
      <c r="K49" s="487"/>
      <c r="L49" s="478">
        <f t="shared" si="11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958134.22052133968</v>
      </c>
      <c r="E50" s="484">
        <f t="shared" si="7"/>
        <v>129707.40051282052</v>
      </c>
      <c r="F50" s="485">
        <f t="shared" si="8"/>
        <v>828426.82000851911</v>
      </c>
      <c r="G50" s="486">
        <f t="shared" si="9"/>
        <v>236328.42605379934</v>
      </c>
      <c r="H50" s="455">
        <f t="shared" si="10"/>
        <v>236328.42605379934</v>
      </c>
      <c r="I50" s="475">
        <f t="shared" si="3"/>
        <v>0</v>
      </c>
      <c r="J50" s="475"/>
      <c r="K50" s="487"/>
      <c r="L50" s="478">
        <f t="shared" si="11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828426.82000851911</v>
      </c>
      <c r="E51" s="484">
        <f t="shared" si="7"/>
        <v>129707.40051282052</v>
      </c>
      <c r="F51" s="485">
        <f t="shared" si="8"/>
        <v>698719.41949569853</v>
      </c>
      <c r="G51" s="486">
        <f t="shared" si="9"/>
        <v>220846.68683616829</v>
      </c>
      <c r="H51" s="455">
        <f t="shared" si="10"/>
        <v>220846.68683616829</v>
      </c>
      <c r="I51" s="475">
        <f t="shared" si="3"/>
        <v>0</v>
      </c>
      <c r="J51" s="475"/>
      <c r="K51" s="487"/>
      <c r="L51" s="478">
        <f t="shared" si="11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698719.41949569853</v>
      </c>
      <c r="E52" s="484">
        <f t="shared" si="7"/>
        <v>129707.40051282052</v>
      </c>
      <c r="F52" s="485">
        <f t="shared" si="8"/>
        <v>569012.01898287795</v>
      </c>
      <c r="G52" s="486">
        <f t="shared" si="9"/>
        <v>205364.94761853729</v>
      </c>
      <c r="H52" s="455">
        <f t="shared" si="10"/>
        <v>205364.94761853729</v>
      </c>
      <c r="I52" s="475">
        <f t="shared" si="3"/>
        <v>0</v>
      </c>
      <c r="J52" s="475"/>
      <c r="K52" s="487"/>
      <c r="L52" s="478">
        <f t="shared" si="11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569012.01898287795</v>
      </c>
      <c r="E53" s="484">
        <f t="shared" si="7"/>
        <v>129707.40051282052</v>
      </c>
      <c r="F53" s="485">
        <f t="shared" si="8"/>
        <v>439304.61847005744</v>
      </c>
      <c r="G53" s="486">
        <f t="shared" si="9"/>
        <v>189883.20840090624</v>
      </c>
      <c r="H53" s="455">
        <f t="shared" si="10"/>
        <v>189883.20840090624</v>
      </c>
      <c r="I53" s="475">
        <f t="shared" si="3"/>
        <v>0</v>
      </c>
      <c r="J53" s="475"/>
      <c r="K53" s="487"/>
      <c r="L53" s="478">
        <f t="shared" si="11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439304.61847005744</v>
      </c>
      <c r="E54" s="484">
        <f t="shared" si="7"/>
        <v>129707.40051282052</v>
      </c>
      <c r="F54" s="485">
        <f t="shared" si="8"/>
        <v>309597.21795723692</v>
      </c>
      <c r="G54" s="486">
        <f t="shared" si="9"/>
        <v>174401.46918327521</v>
      </c>
      <c r="H54" s="455">
        <f t="shared" si="10"/>
        <v>174401.46918327521</v>
      </c>
      <c r="I54" s="475">
        <f t="shared" si="3"/>
        <v>0</v>
      </c>
      <c r="J54" s="475"/>
      <c r="K54" s="487"/>
      <c r="L54" s="478">
        <f t="shared" si="11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309597.21795723692</v>
      </c>
      <c r="E55" s="484">
        <f t="shared" si="7"/>
        <v>129707.40051282052</v>
      </c>
      <c r="F55" s="485">
        <f t="shared" si="8"/>
        <v>179889.8174444164</v>
      </c>
      <c r="G55" s="486">
        <f t="shared" si="9"/>
        <v>158919.72996564419</v>
      </c>
      <c r="H55" s="455">
        <f t="shared" si="10"/>
        <v>158919.72996564419</v>
      </c>
      <c r="I55" s="475">
        <f t="shared" si="3"/>
        <v>0</v>
      </c>
      <c r="J55" s="475"/>
      <c r="K55" s="487"/>
      <c r="L55" s="478">
        <f t="shared" si="11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179889.8174444164</v>
      </c>
      <c r="E56" s="484">
        <f t="shared" si="7"/>
        <v>129707.40051282052</v>
      </c>
      <c r="F56" s="485">
        <f t="shared" si="8"/>
        <v>50182.416931595886</v>
      </c>
      <c r="G56" s="486">
        <f t="shared" si="9"/>
        <v>143437.99074801317</v>
      </c>
      <c r="H56" s="455">
        <f t="shared" si="10"/>
        <v>143437.99074801317</v>
      </c>
      <c r="I56" s="475">
        <f t="shared" si="3"/>
        <v>0</v>
      </c>
      <c r="J56" s="475"/>
      <c r="K56" s="487"/>
      <c r="L56" s="478">
        <f t="shared" si="11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50182.416931595886</v>
      </c>
      <c r="E57" s="484">
        <f t="shared" si="7"/>
        <v>50182.416931595886</v>
      </c>
      <c r="F57" s="485">
        <f t="shared" si="8"/>
        <v>0</v>
      </c>
      <c r="G57" s="486">
        <f t="shared" si="9"/>
        <v>53177.277244784447</v>
      </c>
      <c r="H57" s="455">
        <f t="shared" si="10"/>
        <v>53177.277244784447</v>
      </c>
      <c r="I57" s="475">
        <f t="shared" si="3"/>
        <v>0</v>
      </c>
      <c r="J57" s="475"/>
      <c r="K57" s="487"/>
      <c r="L57" s="478">
        <f t="shared" si="11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0</v>
      </c>
      <c r="E58" s="484">
        <f t="shared" si="7"/>
        <v>0</v>
      </c>
      <c r="F58" s="485">
        <f t="shared" si="8"/>
        <v>0</v>
      </c>
      <c r="G58" s="486">
        <f t="shared" si="9"/>
        <v>0</v>
      </c>
      <c r="H58" s="455">
        <f t="shared" si="10"/>
        <v>0</v>
      </c>
      <c r="I58" s="475">
        <f t="shared" si="3"/>
        <v>0</v>
      </c>
      <c r="J58" s="475"/>
      <c r="K58" s="487"/>
      <c r="L58" s="478">
        <f t="shared" si="11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0</v>
      </c>
      <c r="E59" s="484">
        <f t="shared" si="7"/>
        <v>0</v>
      </c>
      <c r="F59" s="485">
        <f t="shared" si="8"/>
        <v>0</v>
      </c>
      <c r="G59" s="486">
        <f t="shared" si="9"/>
        <v>0</v>
      </c>
      <c r="H59" s="455">
        <f t="shared" si="10"/>
        <v>0</v>
      </c>
      <c r="I59" s="475">
        <f t="shared" si="3"/>
        <v>0</v>
      </c>
      <c r="J59" s="475"/>
      <c r="K59" s="487"/>
      <c r="L59" s="478">
        <f t="shared" si="11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11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11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11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11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11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11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11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11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11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11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11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11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1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5058588.6199999992</v>
      </c>
      <c r="F73" s="347"/>
      <c r="G73" s="347">
        <f>SUM(G17:G72)</f>
        <v>17034980.141932085</v>
      </c>
      <c r="H73" s="347">
        <f>SUM(H17:H72)</f>
        <v>17034980.141932085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27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645841.5888943586</v>
      </c>
      <c r="N87" s="508">
        <f>IF(J92&lt;D11,0,VLOOKUP(J92,C17:O72,11))</f>
        <v>645841.5888943586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668074.55118974927</v>
      </c>
      <c r="N88" s="512">
        <f>IF(J92&lt;D11,0,VLOOKUP(J92,C99:P154,7))</f>
        <v>668074.55118974927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Broken Arrow North-Lynn Lane East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22232.962295390666</v>
      </c>
      <c r="N89" s="517">
        <f>+N88-N87</f>
        <v>22232.962295390666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5058589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3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123380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2019</v>
      </c>
      <c r="D99" s="584">
        <v>0</v>
      </c>
      <c r="E99" s="608">
        <v>92534.25</v>
      </c>
      <c r="F99" s="584">
        <v>4965987.75</v>
      </c>
      <c r="G99" s="608">
        <v>2482993.875</v>
      </c>
      <c r="H99" s="587">
        <v>348565.74518479535</v>
      </c>
      <c r="I99" s="607">
        <v>348565.74518479535</v>
      </c>
      <c r="J99" s="478">
        <f>+I99-H99</f>
        <v>0</v>
      </c>
      <c r="K99" s="478"/>
      <c r="L99" s="477">
        <f>+H99</f>
        <v>348565.74518479535</v>
      </c>
      <c r="M99" s="477">
        <f t="shared" ref="M99" si="12">IF(L99&lt;&gt;0,+H99-L99,0)</f>
        <v>0</v>
      </c>
      <c r="N99" s="477">
        <f>+I99</f>
        <v>348565.74518479535</v>
      </c>
      <c r="O99" s="477">
        <f t="shared" ref="O99:O130" si="13">IF(N99&lt;&gt;0,+I99-N99,0)</f>
        <v>0</v>
      </c>
      <c r="P99" s="477">
        <f t="shared" ref="P99:P130" si="14">+O99-M99</f>
        <v>0</v>
      </c>
    </row>
    <row r="100" spans="1:16" ht="12.5">
      <c r="B100" s="160" t="str">
        <f>IF(D100=F99,"","IU")</f>
        <v>IU</v>
      </c>
      <c r="C100" s="472">
        <f>IF(D93="","-",+C99+1)</f>
        <v>2020</v>
      </c>
      <c r="D100" s="578">
        <v>4966054.75</v>
      </c>
      <c r="E100" s="579">
        <v>117642</v>
      </c>
      <c r="F100" s="578">
        <v>4848412.75</v>
      </c>
      <c r="G100" s="579">
        <v>4907233.75</v>
      </c>
      <c r="H100" s="602">
        <v>683432.56004823186</v>
      </c>
      <c r="I100" s="578">
        <v>683432.56004823186</v>
      </c>
      <c r="J100" s="478">
        <f t="shared" ref="J100:J130" si="15">+I100-H100</f>
        <v>0</v>
      </c>
      <c r="K100" s="478"/>
      <c r="L100" s="476">
        <f>H100</f>
        <v>683432.56004823186</v>
      </c>
      <c r="M100" s="348">
        <f>IF(L100&lt;&gt;0,+H100-L100,0)</f>
        <v>0</v>
      </c>
      <c r="N100" s="476">
        <f>I100</f>
        <v>683432.56004823186</v>
      </c>
      <c r="O100" s="478">
        <f t="shared" si="13"/>
        <v>0</v>
      </c>
      <c r="P100" s="478">
        <f t="shared" si="14"/>
        <v>0</v>
      </c>
    </row>
    <row r="101" spans="1:16" ht="12.5">
      <c r="B101" s="160" t="str">
        <f t="shared" ref="B101:B154" si="16">IF(D101=F100,"","IU")</f>
        <v/>
      </c>
      <c r="C101" s="472">
        <f>IF(D93="","-",+C100+1)</f>
        <v>2021</v>
      </c>
      <c r="D101" s="346">
        <f>IF(F100+SUM(E$99:E100)=D$92,F100,D$92-SUM(E$99:E100))</f>
        <v>4848412.75</v>
      </c>
      <c r="E101" s="484">
        <f t="shared" ref="E101:E154" si="17">IF(+J$96&lt;F100,J$96,D101)</f>
        <v>123380</v>
      </c>
      <c r="F101" s="485">
        <f t="shared" ref="F101:F154" si="18">+D101-E101</f>
        <v>4725032.75</v>
      </c>
      <c r="G101" s="485">
        <f t="shared" ref="G101:G154" si="19">+(F101+D101)/2</f>
        <v>4786722.75</v>
      </c>
      <c r="H101" s="613">
        <f t="shared" ref="H101:H154" si="20">+J$94*G101+E101</f>
        <v>668074.55118974927</v>
      </c>
      <c r="I101" s="614">
        <f t="shared" ref="I101:I154" si="21">+J$95*G101+E101</f>
        <v>668074.55118974927</v>
      </c>
      <c r="J101" s="478">
        <f t="shared" si="15"/>
        <v>0</v>
      </c>
      <c r="K101" s="478"/>
      <c r="L101" s="487"/>
      <c r="M101" s="478">
        <f t="shared" ref="M101:M130" si="22">IF(L101&lt;&gt;0,+H101-L101,0)</f>
        <v>0</v>
      </c>
      <c r="N101" s="487"/>
      <c r="O101" s="478">
        <f t="shared" si="13"/>
        <v>0</v>
      </c>
      <c r="P101" s="478">
        <f t="shared" si="14"/>
        <v>0</v>
      </c>
    </row>
    <row r="102" spans="1:16" ht="12.5">
      <c r="B102" s="160" t="str">
        <f t="shared" si="16"/>
        <v/>
      </c>
      <c r="C102" s="472">
        <f>IF(D93="","-",+C101+1)</f>
        <v>2022</v>
      </c>
      <c r="D102" s="346">
        <f>IF(F101+SUM(E$99:E101)=D$92,F101,D$92-SUM(E$99:E101))</f>
        <v>4725032.75</v>
      </c>
      <c r="E102" s="484">
        <f t="shared" si="17"/>
        <v>123380</v>
      </c>
      <c r="F102" s="485">
        <f t="shared" si="18"/>
        <v>4601652.75</v>
      </c>
      <c r="G102" s="485">
        <f t="shared" si="19"/>
        <v>4663342.75</v>
      </c>
      <c r="H102" s="613">
        <f t="shared" si="20"/>
        <v>654034.79638552724</v>
      </c>
      <c r="I102" s="614">
        <f t="shared" si="21"/>
        <v>654034.79638552724</v>
      </c>
      <c r="J102" s="478">
        <f t="shared" si="15"/>
        <v>0</v>
      </c>
      <c r="K102" s="478"/>
      <c r="L102" s="487"/>
      <c r="M102" s="478">
        <f t="shared" si="22"/>
        <v>0</v>
      </c>
      <c r="N102" s="487"/>
      <c r="O102" s="478">
        <f t="shared" si="13"/>
        <v>0</v>
      </c>
      <c r="P102" s="478">
        <f t="shared" si="14"/>
        <v>0</v>
      </c>
    </row>
    <row r="103" spans="1:16" ht="12.5">
      <c r="B103" s="160" t="str">
        <f t="shared" si="16"/>
        <v/>
      </c>
      <c r="C103" s="472">
        <f>IF(D93="","-",+C102+1)</f>
        <v>2023</v>
      </c>
      <c r="D103" s="346">
        <f>IF(F102+SUM(E$99:E102)=D$92,F102,D$92-SUM(E$99:E102))</f>
        <v>4601652.75</v>
      </c>
      <c r="E103" s="484">
        <f t="shared" si="17"/>
        <v>123380</v>
      </c>
      <c r="F103" s="485">
        <f t="shared" si="18"/>
        <v>4478272.75</v>
      </c>
      <c r="G103" s="485">
        <f t="shared" si="19"/>
        <v>4539962.75</v>
      </c>
      <c r="H103" s="613">
        <f t="shared" si="20"/>
        <v>639995.04158130521</v>
      </c>
      <c r="I103" s="614">
        <f t="shared" si="21"/>
        <v>639995.04158130521</v>
      </c>
      <c r="J103" s="478">
        <f t="shared" si="15"/>
        <v>0</v>
      </c>
      <c r="K103" s="478"/>
      <c r="L103" s="487"/>
      <c r="M103" s="478">
        <f t="shared" si="22"/>
        <v>0</v>
      </c>
      <c r="N103" s="487"/>
      <c r="O103" s="478">
        <f t="shared" si="13"/>
        <v>0</v>
      </c>
      <c r="P103" s="478">
        <f t="shared" si="14"/>
        <v>0</v>
      </c>
    </row>
    <row r="104" spans="1:16" ht="12.5">
      <c r="B104" s="160" t="str">
        <f t="shared" si="16"/>
        <v/>
      </c>
      <c r="C104" s="472">
        <f>IF(D93="","-",+C103+1)</f>
        <v>2024</v>
      </c>
      <c r="D104" s="346">
        <f>IF(F103+SUM(E$99:E103)=D$92,F103,D$92-SUM(E$99:E103))</f>
        <v>4478272.75</v>
      </c>
      <c r="E104" s="484">
        <f t="shared" si="17"/>
        <v>123380</v>
      </c>
      <c r="F104" s="485">
        <f t="shared" si="18"/>
        <v>4354892.75</v>
      </c>
      <c r="G104" s="485">
        <f t="shared" si="19"/>
        <v>4416582.75</v>
      </c>
      <c r="H104" s="613">
        <f t="shared" si="20"/>
        <v>625955.2867770833</v>
      </c>
      <c r="I104" s="614">
        <f t="shared" si="21"/>
        <v>625955.2867770833</v>
      </c>
      <c r="J104" s="478">
        <f t="shared" si="15"/>
        <v>0</v>
      </c>
      <c r="K104" s="478"/>
      <c r="L104" s="487"/>
      <c r="M104" s="478">
        <f t="shared" si="22"/>
        <v>0</v>
      </c>
      <c r="N104" s="487"/>
      <c r="O104" s="478">
        <f t="shared" si="13"/>
        <v>0</v>
      </c>
      <c r="P104" s="478">
        <f t="shared" si="14"/>
        <v>0</v>
      </c>
    </row>
    <row r="105" spans="1:16" ht="12.5">
      <c r="B105" s="160" t="str">
        <f t="shared" si="16"/>
        <v/>
      </c>
      <c r="C105" s="472">
        <f>IF(D93="","-",+C104+1)</f>
        <v>2025</v>
      </c>
      <c r="D105" s="346">
        <f>IF(F104+SUM(E$99:E104)=D$92,F104,D$92-SUM(E$99:E104))</f>
        <v>4354892.75</v>
      </c>
      <c r="E105" s="484">
        <f t="shared" si="17"/>
        <v>123380</v>
      </c>
      <c r="F105" s="485">
        <f t="shared" si="18"/>
        <v>4231512.75</v>
      </c>
      <c r="G105" s="485">
        <f t="shared" si="19"/>
        <v>4293202.75</v>
      </c>
      <c r="H105" s="613">
        <f t="shared" si="20"/>
        <v>611915.53197286127</v>
      </c>
      <c r="I105" s="614">
        <f t="shared" si="21"/>
        <v>611915.53197286127</v>
      </c>
      <c r="J105" s="478">
        <f t="shared" si="15"/>
        <v>0</v>
      </c>
      <c r="K105" s="478"/>
      <c r="L105" s="487"/>
      <c r="M105" s="478">
        <f t="shared" si="22"/>
        <v>0</v>
      </c>
      <c r="N105" s="487"/>
      <c r="O105" s="478">
        <f t="shared" si="13"/>
        <v>0</v>
      </c>
      <c r="P105" s="478">
        <f t="shared" si="14"/>
        <v>0</v>
      </c>
    </row>
    <row r="106" spans="1:16" ht="12.5">
      <c r="B106" s="160" t="str">
        <f t="shared" si="16"/>
        <v/>
      </c>
      <c r="C106" s="472">
        <f>IF(D93="","-",+C105+1)</f>
        <v>2026</v>
      </c>
      <c r="D106" s="346">
        <f>IF(F105+SUM(E$99:E105)=D$92,F105,D$92-SUM(E$99:E105))</f>
        <v>4231512.75</v>
      </c>
      <c r="E106" s="484">
        <f t="shared" si="17"/>
        <v>123380</v>
      </c>
      <c r="F106" s="485">
        <f t="shared" si="18"/>
        <v>4108132.75</v>
      </c>
      <c r="G106" s="485">
        <f t="shared" si="19"/>
        <v>4169822.75</v>
      </c>
      <c r="H106" s="613">
        <f t="shared" si="20"/>
        <v>597875.77716863924</v>
      </c>
      <c r="I106" s="614">
        <f t="shared" si="21"/>
        <v>597875.77716863924</v>
      </c>
      <c r="J106" s="478">
        <f t="shared" si="15"/>
        <v>0</v>
      </c>
      <c r="K106" s="478"/>
      <c r="L106" s="487"/>
      <c r="M106" s="478">
        <f t="shared" si="22"/>
        <v>0</v>
      </c>
      <c r="N106" s="487"/>
      <c r="O106" s="478">
        <f t="shared" si="13"/>
        <v>0</v>
      </c>
      <c r="P106" s="478">
        <f t="shared" si="14"/>
        <v>0</v>
      </c>
    </row>
    <row r="107" spans="1:16" ht="12.5">
      <c r="B107" s="160" t="str">
        <f t="shared" si="16"/>
        <v/>
      </c>
      <c r="C107" s="472">
        <f>IF(D93="","-",+C106+1)</f>
        <v>2027</v>
      </c>
      <c r="D107" s="346">
        <f>IF(F106+SUM(E$99:E106)=D$92,F106,D$92-SUM(E$99:E106))</f>
        <v>4108132.75</v>
      </c>
      <c r="E107" s="484">
        <f t="shared" si="17"/>
        <v>123380</v>
      </c>
      <c r="F107" s="485">
        <f t="shared" si="18"/>
        <v>3984752.75</v>
      </c>
      <c r="G107" s="485">
        <f t="shared" si="19"/>
        <v>4046442.75</v>
      </c>
      <c r="H107" s="613">
        <f t="shared" si="20"/>
        <v>583836.02236441732</v>
      </c>
      <c r="I107" s="614">
        <f t="shared" si="21"/>
        <v>583836.02236441732</v>
      </c>
      <c r="J107" s="478">
        <f t="shared" si="15"/>
        <v>0</v>
      </c>
      <c r="K107" s="478"/>
      <c r="L107" s="487"/>
      <c r="M107" s="478">
        <f t="shared" si="22"/>
        <v>0</v>
      </c>
      <c r="N107" s="487"/>
      <c r="O107" s="478">
        <f t="shared" si="13"/>
        <v>0</v>
      </c>
      <c r="P107" s="478">
        <f t="shared" si="14"/>
        <v>0</v>
      </c>
    </row>
    <row r="108" spans="1:16" ht="12.5">
      <c r="B108" s="160" t="str">
        <f t="shared" si="16"/>
        <v/>
      </c>
      <c r="C108" s="472">
        <f>IF(D93="","-",+C107+1)</f>
        <v>2028</v>
      </c>
      <c r="D108" s="346">
        <f>IF(F107+SUM(E$99:E107)=D$92,F107,D$92-SUM(E$99:E107))</f>
        <v>3984752.75</v>
      </c>
      <c r="E108" s="484">
        <f t="shared" si="17"/>
        <v>123380</v>
      </c>
      <c r="F108" s="485">
        <f t="shared" si="18"/>
        <v>3861372.75</v>
      </c>
      <c r="G108" s="485">
        <f t="shared" si="19"/>
        <v>3923062.75</v>
      </c>
      <c r="H108" s="613">
        <f t="shared" si="20"/>
        <v>569796.26756019518</v>
      </c>
      <c r="I108" s="614">
        <f t="shared" si="21"/>
        <v>569796.26756019518</v>
      </c>
      <c r="J108" s="478">
        <f t="shared" si="15"/>
        <v>0</v>
      </c>
      <c r="K108" s="478"/>
      <c r="L108" s="487"/>
      <c r="M108" s="478">
        <f t="shared" si="22"/>
        <v>0</v>
      </c>
      <c r="N108" s="487"/>
      <c r="O108" s="478">
        <f t="shared" si="13"/>
        <v>0</v>
      </c>
      <c r="P108" s="478">
        <f t="shared" si="14"/>
        <v>0</v>
      </c>
    </row>
    <row r="109" spans="1:16" ht="12.5">
      <c r="B109" s="160" t="str">
        <f t="shared" si="16"/>
        <v/>
      </c>
      <c r="C109" s="472">
        <f>IF(D93="","-",+C108+1)</f>
        <v>2029</v>
      </c>
      <c r="D109" s="346">
        <f>IF(F108+SUM(E$99:E108)=D$92,F108,D$92-SUM(E$99:E108))</f>
        <v>3861372.75</v>
      </c>
      <c r="E109" s="484">
        <f t="shared" si="17"/>
        <v>123380</v>
      </c>
      <c r="F109" s="485">
        <f t="shared" si="18"/>
        <v>3737992.75</v>
      </c>
      <c r="G109" s="485">
        <f t="shared" si="19"/>
        <v>3799682.75</v>
      </c>
      <c r="H109" s="613">
        <f t="shared" si="20"/>
        <v>555756.51275597326</v>
      </c>
      <c r="I109" s="614">
        <f t="shared" si="21"/>
        <v>555756.51275597326</v>
      </c>
      <c r="J109" s="478">
        <f t="shared" si="15"/>
        <v>0</v>
      </c>
      <c r="K109" s="478"/>
      <c r="L109" s="487"/>
      <c r="M109" s="478">
        <f t="shared" si="22"/>
        <v>0</v>
      </c>
      <c r="N109" s="487"/>
      <c r="O109" s="478">
        <f t="shared" si="13"/>
        <v>0</v>
      </c>
      <c r="P109" s="478">
        <f t="shared" si="14"/>
        <v>0</v>
      </c>
    </row>
    <row r="110" spans="1:16" ht="12.5">
      <c r="B110" s="160" t="str">
        <f t="shared" si="16"/>
        <v/>
      </c>
      <c r="C110" s="472">
        <f>IF(D93="","-",+C109+1)</f>
        <v>2030</v>
      </c>
      <c r="D110" s="346">
        <f>IF(F109+SUM(E$99:E109)=D$92,F109,D$92-SUM(E$99:E109))</f>
        <v>3737992.75</v>
      </c>
      <c r="E110" s="484">
        <f t="shared" si="17"/>
        <v>123380</v>
      </c>
      <c r="F110" s="485">
        <f t="shared" si="18"/>
        <v>3614612.75</v>
      </c>
      <c r="G110" s="485">
        <f t="shared" si="19"/>
        <v>3676302.75</v>
      </c>
      <c r="H110" s="613">
        <f t="shared" si="20"/>
        <v>541716.75795175123</v>
      </c>
      <c r="I110" s="614">
        <f t="shared" si="21"/>
        <v>541716.75795175123</v>
      </c>
      <c r="J110" s="478">
        <f t="shared" si="15"/>
        <v>0</v>
      </c>
      <c r="K110" s="478"/>
      <c r="L110" s="487"/>
      <c r="M110" s="478">
        <f t="shared" si="22"/>
        <v>0</v>
      </c>
      <c r="N110" s="487"/>
      <c r="O110" s="478">
        <f t="shared" si="13"/>
        <v>0</v>
      </c>
      <c r="P110" s="478">
        <f t="shared" si="14"/>
        <v>0</v>
      </c>
    </row>
    <row r="111" spans="1:16" ht="12.5">
      <c r="B111" s="160" t="str">
        <f t="shared" si="16"/>
        <v/>
      </c>
      <c r="C111" s="472">
        <f>IF(D93="","-",+C110+1)</f>
        <v>2031</v>
      </c>
      <c r="D111" s="346">
        <f>IF(F110+SUM(E$99:E110)=D$92,F110,D$92-SUM(E$99:E110))</f>
        <v>3614612.75</v>
      </c>
      <c r="E111" s="484">
        <f t="shared" si="17"/>
        <v>123380</v>
      </c>
      <c r="F111" s="485">
        <f t="shared" si="18"/>
        <v>3491232.75</v>
      </c>
      <c r="G111" s="485">
        <f t="shared" si="19"/>
        <v>3552922.75</v>
      </c>
      <c r="H111" s="613">
        <f t="shared" si="20"/>
        <v>527677.00314752921</v>
      </c>
      <c r="I111" s="614">
        <f t="shared" si="21"/>
        <v>527677.00314752921</v>
      </c>
      <c r="J111" s="478">
        <f t="shared" si="15"/>
        <v>0</v>
      </c>
      <c r="K111" s="478"/>
      <c r="L111" s="487"/>
      <c r="M111" s="478">
        <f t="shared" si="22"/>
        <v>0</v>
      </c>
      <c r="N111" s="487"/>
      <c r="O111" s="478">
        <f t="shared" si="13"/>
        <v>0</v>
      </c>
      <c r="P111" s="478">
        <f t="shared" si="14"/>
        <v>0</v>
      </c>
    </row>
    <row r="112" spans="1:16" ht="12.5">
      <c r="B112" s="160" t="str">
        <f t="shared" si="16"/>
        <v/>
      </c>
      <c r="C112" s="472">
        <f>IF(D93="","-",+C111+1)</f>
        <v>2032</v>
      </c>
      <c r="D112" s="346">
        <f>IF(F111+SUM(E$99:E111)=D$92,F111,D$92-SUM(E$99:E111))</f>
        <v>3491232.75</v>
      </c>
      <c r="E112" s="484">
        <f t="shared" si="17"/>
        <v>123380</v>
      </c>
      <c r="F112" s="485">
        <f t="shared" si="18"/>
        <v>3367852.75</v>
      </c>
      <c r="G112" s="485">
        <f t="shared" si="19"/>
        <v>3429542.75</v>
      </c>
      <c r="H112" s="613">
        <f t="shared" si="20"/>
        <v>513637.24834330723</v>
      </c>
      <c r="I112" s="614">
        <f t="shared" si="21"/>
        <v>513637.24834330723</v>
      </c>
      <c r="J112" s="478">
        <f t="shared" si="15"/>
        <v>0</v>
      </c>
      <c r="K112" s="478"/>
      <c r="L112" s="487"/>
      <c r="M112" s="478">
        <f t="shared" si="22"/>
        <v>0</v>
      </c>
      <c r="N112" s="487"/>
      <c r="O112" s="478">
        <f t="shared" si="13"/>
        <v>0</v>
      </c>
      <c r="P112" s="478">
        <f t="shared" si="14"/>
        <v>0</v>
      </c>
    </row>
    <row r="113" spans="2:16" ht="12.5">
      <c r="B113" s="160" t="str">
        <f t="shared" si="16"/>
        <v/>
      </c>
      <c r="C113" s="472">
        <f>IF(D93="","-",+C112+1)</f>
        <v>2033</v>
      </c>
      <c r="D113" s="346">
        <f>IF(F112+SUM(E$99:E112)=D$92,F112,D$92-SUM(E$99:E112))</f>
        <v>3367852.75</v>
      </c>
      <c r="E113" s="484">
        <f t="shared" si="17"/>
        <v>123380</v>
      </c>
      <c r="F113" s="485">
        <f t="shared" si="18"/>
        <v>3244472.75</v>
      </c>
      <c r="G113" s="485">
        <f t="shared" si="19"/>
        <v>3306162.75</v>
      </c>
      <c r="H113" s="613">
        <f t="shared" si="20"/>
        <v>499597.4935390852</v>
      </c>
      <c r="I113" s="614">
        <f t="shared" si="21"/>
        <v>499597.4935390852</v>
      </c>
      <c r="J113" s="478">
        <f t="shared" si="15"/>
        <v>0</v>
      </c>
      <c r="K113" s="478"/>
      <c r="L113" s="487"/>
      <c r="M113" s="478">
        <f t="shared" si="22"/>
        <v>0</v>
      </c>
      <c r="N113" s="487"/>
      <c r="O113" s="478">
        <f t="shared" si="13"/>
        <v>0</v>
      </c>
      <c r="P113" s="478">
        <f t="shared" si="14"/>
        <v>0</v>
      </c>
    </row>
    <row r="114" spans="2:16" ht="12.5">
      <c r="B114" s="160" t="str">
        <f t="shared" si="16"/>
        <v/>
      </c>
      <c r="C114" s="472">
        <f>IF(D93="","-",+C113+1)</f>
        <v>2034</v>
      </c>
      <c r="D114" s="346">
        <f>IF(F113+SUM(E$99:E113)=D$92,F113,D$92-SUM(E$99:E113))</f>
        <v>3244472.75</v>
      </c>
      <c r="E114" s="484">
        <f t="shared" si="17"/>
        <v>123380</v>
      </c>
      <c r="F114" s="485">
        <f t="shared" si="18"/>
        <v>3121092.75</v>
      </c>
      <c r="G114" s="485">
        <f t="shared" si="19"/>
        <v>3182782.75</v>
      </c>
      <c r="H114" s="613">
        <f t="shared" si="20"/>
        <v>485557.73873486323</v>
      </c>
      <c r="I114" s="614">
        <f t="shared" si="21"/>
        <v>485557.73873486323</v>
      </c>
      <c r="J114" s="478">
        <f t="shared" si="15"/>
        <v>0</v>
      </c>
      <c r="K114" s="478"/>
      <c r="L114" s="487"/>
      <c r="M114" s="478">
        <f t="shared" si="22"/>
        <v>0</v>
      </c>
      <c r="N114" s="487"/>
      <c r="O114" s="478">
        <f t="shared" si="13"/>
        <v>0</v>
      </c>
      <c r="P114" s="478">
        <f t="shared" si="14"/>
        <v>0</v>
      </c>
    </row>
    <row r="115" spans="2:16" ht="12.5">
      <c r="B115" s="160" t="str">
        <f t="shared" si="16"/>
        <v/>
      </c>
      <c r="C115" s="472">
        <f>IF(D93="","-",+C114+1)</f>
        <v>2035</v>
      </c>
      <c r="D115" s="346">
        <f>IF(F114+SUM(E$99:E114)=D$92,F114,D$92-SUM(E$99:E114))</f>
        <v>3121092.75</v>
      </c>
      <c r="E115" s="484">
        <f t="shared" si="17"/>
        <v>123380</v>
      </c>
      <c r="F115" s="485">
        <f t="shared" si="18"/>
        <v>2997712.75</v>
      </c>
      <c r="G115" s="485">
        <f t="shared" si="19"/>
        <v>3059402.75</v>
      </c>
      <c r="H115" s="613">
        <f t="shared" si="20"/>
        <v>471517.9839306412</v>
      </c>
      <c r="I115" s="614">
        <f t="shared" si="21"/>
        <v>471517.9839306412</v>
      </c>
      <c r="J115" s="478">
        <f t="shared" si="15"/>
        <v>0</v>
      </c>
      <c r="K115" s="478"/>
      <c r="L115" s="487"/>
      <c r="M115" s="478">
        <f t="shared" si="22"/>
        <v>0</v>
      </c>
      <c r="N115" s="487"/>
      <c r="O115" s="478">
        <f t="shared" si="13"/>
        <v>0</v>
      </c>
      <c r="P115" s="478">
        <f t="shared" si="14"/>
        <v>0</v>
      </c>
    </row>
    <row r="116" spans="2:16" ht="12.5">
      <c r="B116" s="160" t="str">
        <f t="shared" si="16"/>
        <v/>
      </c>
      <c r="C116" s="472">
        <f>IF(D93="","-",+C115+1)</f>
        <v>2036</v>
      </c>
      <c r="D116" s="346">
        <f>IF(F115+SUM(E$99:E115)=D$92,F115,D$92-SUM(E$99:E115))</f>
        <v>2997712.75</v>
      </c>
      <c r="E116" s="484">
        <f t="shared" si="17"/>
        <v>123380</v>
      </c>
      <c r="F116" s="485">
        <f t="shared" si="18"/>
        <v>2874332.75</v>
      </c>
      <c r="G116" s="485">
        <f t="shared" si="19"/>
        <v>2936022.75</v>
      </c>
      <c r="H116" s="613">
        <f t="shared" si="20"/>
        <v>457478.22912641923</v>
      </c>
      <c r="I116" s="614">
        <f t="shared" si="21"/>
        <v>457478.22912641923</v>
      </c>
      <c r="J116" s="478">
        <f t="shared" si="15"/>
        <v>0</v>
      </c>
      <c r="K116" s="478"/>
      <c r="L116" s="487"/>
      <c r="M116" s="478">
        <f t="shared" si="22"/>
        <v>0</v>
      </c>
      <c r="N116" s="487"/>
      <c r="O116" s="478">
        <f t="shared" si="13"/>
        <v>0</v>
      </c>
      <c r="P116" s="478">
        <f t="shared" si="14"/>
        <v>0</v>
      </c>
    </row>
    <row r="117" spans="2:16" ht="12.5">
      <c r="B117" s="160" t="str">
        <f t="shared" si="16"/>
        <v/>
      </c>
      <c r="C117" s="472">
        <f>IF(D93="","-",+C116+1)</f>
        <v>2037</v>
      </c>
      <c r="D117" s="346">
        <f>IF(F116+SUM(E$99:E116)=D$92,F116,D$92-SUM(E$99:E116))</f>
        <v>2874332.75</v>
      </c>
      <c r="E117" s="484">
        <f t="shared" si="17"/>
        <v>123380</v>
      </c>
      <c r="F117" s="485">
        <f t="shared" si="18"/>
        <v>2750952.75</v>
      </c>
      <c r="G117" s="485">
        <f t="shared" si="19"/>
        <v>2812642.75</v>
      </c>
      <c r="H117" s="613">
        <f t="shared" si="20"/>
        <v>443438.4743221972</v>
      </c>
      <c r="I117" s="614">
        <f t="shared" si="21"/>
        <v>443438.4743221972</v>
      </c>
      <c r="J117" s="478">
        <f t="shared" si="15"/>
        <v>0</v>
      </c>
      <c r="K117" s="478"/>
      <c r="L117" s="487"/>
      <c r="M117" s="478">
        <f t="shared" si="22"/>
        <v>0</v>
      </c>
      <c r="N117" s="487"/>
      <c r="O117" s="478">
        <f t="shared" si="13"/>
        <v>0</v>
      </c>
      <c r="P117" s="478">
        <f t="shared" si="14"/>
        <v>0</v>
      </c>
    </row>
    <row r="118" spans="2:16" ht="12.5">
      <c r="B118" s="160" t="str">
        <f t="shared" si="16"/>
        <v/>
      </c>
      <c r="C118" s="472">
        <f>IF(D93="","-",+C117+1)</f>
        <v>2038</v>
      </c>
      <c r="D118" s="346">
        <f>IF(F117+SUM(E$99:E117)=D$92,F117,D$92-SUM(E$99:E117))</f>
        <v>2750952.75</v>
      </c>
      <c r="E118" s="484">
        <f t="shared" si="17"/>
        <v>123380</v>
      </c>
      <c r="F118" s="485">
        <f t="shared" si="18"/>
        <v>2627572.75</v>
      </c>
      <c r="G118" s="485">
        <f t="shared" si="19"/>
        <v>2689262.75</v>
      </c>
      <c r="H118" s="613">
        <f t="shared" si="20"/>
        <v>429398.71951797517</v>
      </c>
      <c r="I118" s="614">
        <f t="shared" si="21"/>
        <v>429398.71951797517</v>
      </c>
      <c r="J118" s="478">
        <f t="shared" si="15"/>
        <v>0</v>
      </c>
      <c r="K118" s="478"/>
      <c r="L118" s="487"/>
      <c r="M118" s="478">
        <f t="shared" si="22"/>
        <v>0</v>
      </c>
      <c r="N118" s="487"/>
      <c r="O118" s="478">
        <f t="shared" si="13"/>
        <v>0</v>
      </c>
      <c r="P118" s="478">
        <f t="shared" si="14"/>
        <v>0</v>
      </c>
    </row>
    <row r="119" spans="2:16" ht="12.5">
      <c r="B119" s="160" t="str">
        <f t="shared" si="16"/>
        <v/>
      </c>
      <c r="C119" s="472">
        <f>IF(D93="","-",+C118+1)</f>
        <v>2039</v>
      </c>
      <c r="D119" s="346">
        <f>IF(F118+SUM(E$99:E118)=D$92,F118,D$92-SUM(E$99:E118))</f>
        <v>2627572.75</v>
      </c>
      <c r="E119" s="484">
        <f t="shared" si="17"/>
        <v>123380</v>
      </c>
      <c r="F119" s="485">
        <f t="shared" si="18"/>
        <v>2504192.75</v>
      </c>
      <c r="G119" s="485">
        <f t="shared" si="19"/>
        <v>2565882.75</v>
      </c>
      <c r="H119" s="613">
        <f t="shared" si="20"/>
        <v>415358.9647137532</v>
      </c>
      <c r="I119" s="614">
        <f t="shared" si="21"/>
        <v>415358.9647137532</v>
      </c>
      <c r="J119" s="478">
        <f t="shared" si="15"/>
        <v>0</v>
      </c>
      <c r="K119" s="478"/>
      <c r="L119" s="487"/>
      <c r="M119" s="478">
        <f t="shared" si="22"/>
        <v>0</v>
      </c>
      <c r="N119" s="487"/>
      <c r="O119" s="478">
        <f t="shared" si="13"/>
        <v>0</v>
      </c>
      <c r="P119" s="478">
        <f t="shared" si="14"/>
        <v>0</v>
      </c>
    </row>
    <row r="120" spans="2:16" ht="12.5">
      <c r="B120" s="160" t="str">
        <f t="shared" si="16"/>
        <v/>
      </c>
      <c r="C120" s="472">
        <f>IF(D93="","-",+C119+1)</f>
        <v>2040</v>
      </c>
      <c r="D120" s="346">
        <f>IF(F119+SUM(E$99:E119)=D$92,F119,D$92-SUM(E$99:E119))</f>
        <v>2504192.75</v>
      </c>
      <c r="E120" s="484">
        <f t="shared" si="17"/>
        <v>123380</v>
      </c>
      <c r="F120" s="485">
        <f t="shared" si="18"/>
        <v>2380812.75</v>
      </c>
      <c r="G120" s="485">
        <f t="shared" si="19"/>
        <v>2442502.75</v>
      </c>
      <c r="H120" s="613">
        <f t="shared" si="20"/>
        <v>401319.20990953117</v>
      </c>
      <c r="I120" s="614">
        <f t="shared" si="21"/>
        <v>401319.20990953117</v>
      </c>
      <c r="J120" s="478">
        <f t="shared" si="15"/>
        <v>0</v>
      </c>
      <c r="K120" s="478"/>
      <c r="L120" s="487"/>
      <c r="M120" s="478">
        <f t="shared" si="22"/>
        <v>0</v>
      </c>
      <c r="N120" s="487"/>
      <c r="O120" s="478">
        <f t="shared" si="13"/>
        <v>0</v>
      </c>
      <c r="P120" s="478">
        <f t="shared" si="14"/>
        <v>0</v>
      </c>
    </row>
    <row r="121" spans="2:16" ht="12.5">
      <c r="B121" s="160" t="str">
        <f t="shared" si="16"/>
        <v/>
      </c>
      <c r="C121" s="472">
        <f>IF(D93="","-",+C120+1)</f>
        <v>2041</v>
      </c>
      <c r="D121" s="346">
        <f>IF(F120+SUM(E$99:E120)=D$92,F120,D$92-SUM(E$99:E120))</f>
        <v>2380812.75</v>
      </c>
      <c r="E121" s="484">
        <f t="shared" si="17"/>
        <v>123380</v>
      </c>
      <c r="F121" s="485">
        <f t="shared" si="18"/>
        <v>2257432.75</v>
      </c>
      <c r="G121" s="485">
        <f t="shared" si="19"/>
        <v>2319122.75</v>
      </c>
      <c r="H121" s="613">
        <f t="shared" si="20"/>
        <v>387279.4551053092</v>
      </c>
      <c r="I121" s="614">
        <f t="shared" si="21"/>
        <v>387279.4551053092</v>
      </c>
      <c r="J121" s="478">
        <f t="shared" si="15"/>
        <v>0</v>
      </c>
      <c r="K121" s="478"/>
      <c r="L121" s="487"/>
      <c r="M121" s="478">
        <f t="shared" si="22"/>
        <v>0</v>
      </c>
      <c r="N121" s="487"/>
      <c r="O121" s="478">
        <f t="shared" si="13"/>
        <v>0</v>
      </c>
      <c r="P121" s="478">
        <f t="shared" si="14"/>
        <v>0</v>
      </c>
    </row>
    <row r="122" spans="2:16" ht="12.5">
      <c r="B122" s="160" t="str">
        <f t="shared" si="16"/>
        <v/>
      </c>
      <c r="C122" s="472">
        <f>IF(D93="","-",+C121+1)</f>
        <v>2042</v>
      </c>
      <c r="D122" s="346">
        <f>IF(F121+SUM(E$99:E121)=D$92,F121,D$92-SUM(E$99:E121))</f>
        <v>2257432.75</v>
      </c>
      <c r="E122" s="484">
        <f t="shared" si="17"/>
        <v>123380</v>
      </c>
      <c r="F122" s="485">
        <f t="shared" si="18"/>
        <v>2134052.75</v>
      </c>
      <c r="G122" s="485">
        <f t="shared" si="19"/>
        <v>2195742.75</v>
      </c>
      <c r="H122" s="613">
        <f t="shared" si="20"/>
        <v>373239.70030108717</v>
      </c>
      <c r="I122" s="614">
        <f t="shared" si="21"/>
        <v>373239.70030108717</v>
      </c>
      <c r="J122" s="478">
        <f t="shared" si="15"/>
        <v>0</v>
      </c>
      <c r="K122" s="478"/>
      <c r="L122" s="487"/>
      <c r="M122" s="478">
        <f t="shared" si="22"/>
        <v>0</v>
      </c>
      <c r="N122" s="487"/>
      <c r="O122" s="478">
        <f t="shared" si="13"/>
        <v>0</v>
      </c>
      <c r="P122" s="478">
        <f t="shared" si="14"/>
        <v>0</v>
      </c>
    </row>
    <row r="123" spans="2:16" ht="12.5">
      <c r="B123" s="160" t="str">
        <f t="shared" si="16"/>
        <v/>
      </c>
      <c r="C123" s="472">
        <f>IF(D93="","-",+C122+1)</f>
        <v>2043</v>
      </c>
      <c r="D123" s="346">
        <f>IF(F122+SUM(E$99:E122)=D$92,F122,D$92-SUM(E$99:E122))</f>
        <v>2134052.75</v>
      </c>
      <c r="E123" s="484">
        <f t="shared" si="17"/>
        <v>123380</v>
      </c>
      <c r="F123" s="485">
        <f t="shared" si="18"/>
        <v>2010672.75</v>
      </c>
      <c r="G123" s="485">
        <f t="shared" si="19"/>
        <v>2072362.75</v>
      </c>
      <c r="H123" s="613">
        <f t="shared" si="20"/>
        <v>359199.9454968652</v>
      </c>
      <c r="I123" s="614">
        <f t="shared" si="21"/>
        <v>359199.9454968652</v>
      </c>
      <c r="J123" s="478">
        <f t="shared" si="15"/>
        <v>0</v>
      </c>
      <c r="K123" s="478"/>
      <c r="L123" s="487"/>
      <c r="M123" s="478">
        <f t="shared" si="22"/>
        <v>0</v>
      </c>
      <c r="N123" s="487"/>
      <c r="O123" s="478">
        <f t="shared" si="13"/>
        <v>0</v>
      </c>
      <c r="P123" s="478">
        <f t="shared" si="14"/>
        <v>0</v>
      </c>
    </row>
    <row r="124" spans="2:16" ht="12.5">
      <c r="B124" s="160" t="str">
        <f t="shared" si="16"/>
        <v/>
      </c>
      <c r="C124" s="472">
        <f>IF(D93="","-",+C123+1)</f>
        <v>2044</v>
      </c>
      <c r="D124" s="346">
        <f>IF(F123+SUM(E$99:E123)=D$92,F123,D$92-SUM(E$99:E123))</f>
        <v>2010672.75</v>
      </c>
      <c r="E124" s="484">
        <f t="shared" si="17"/>
        <v>123380</v>
      </c>
      <c r="F124" s="485">
        <f t="shared" si="18"/>
        <v>1887292.75</v>
      </c>
      <c r="G124" s="485">
        <f t="shared" si="19"/>
        <v>1948982.75</v>
      </c>
      <c r="H124" s="613">
        <f t="shared" si="20"/>
        <v>345160.19069264317</v>
      </c>
      <c r="I124" s="614">
        <f t="shared" si="21"/>
        <v>345160.19069264317</v>
      </c>
      <c r="J124" s="478">
        <f t="shared" si="15"/>
        <v>0</v>
      </c>
      <c r="K124" s="478"/>
      <c r="L124" s="487"/>
      <c r="M124" s="478">
        <f t="shared" si="22"/>
        <v>0</v>
      </c>
      <c r="N124" s="487"/>
      <c r="O124" s="478">
        <f t="shared" si="13"/>
        <v>0</v>
      </c>
      <c r="P124" s="478">
        <f t="shared" si="14"/>
        <v>0</v>
      </c>
    </row>
    <row r="125" spans="2:16" ht="12.5">
      <c r="B125" s="160" t="str">
        <f t="shared" si="16"/>
        <v/>
      </c>
      <c r="C125" s="472">
        <f>IF(D93="","-",+C124+1)</f>
        <v>2045</v>
      </c>
      <c r="D125" s="346">
        <f>IF(F124+SUM(E$99:E124)=D$92,F124,D$92-SUM(E$99:E124))</f>
        <v>1887292.75</v>
      </c>
      <c r="E125" s="484">
        <f t="shared" si="17"/>
        <v>123380</v>
      </c>
      <c r="F125" s="485">
        <f t="shared" si="18"/>
        <v>1763912.75</v>
      </c>
      <c r="G125" s="485">
        <f t="shared" si="19"/>
        <v>1825602.75</v>
      </c>
      <c r="H125" s="613">
        <f t="shared" si="20"/>
        <v>331120.43588842114</v>
      </c>
      <c r="I125" s="614">
        <f t="shared" si="21"/>
        <v>331120.43588842114</v>
      </c>
      <c r="J125" s="478">
        <f t="shared" si="15"/>
        <v>0</v>
      </c>
      <c r="K125" s="478"/>
      <c r="L125" s="487"/>
      <c r="M125" s="478">
        <f t="shared" si="22"/>
        <v>0</v>
      </c>
      <c r="N125" s="487"/>
      <c r="O125" s="478">
        <f t="shared" si="13"/>
        <v>0</v>
      </c>
      <c r="P125" s="478">
        <f t="shared" si="14"/>
        <v>0</v>
      </c>
    </row>
    <row r="126" spans="2:16" ht="12.5">
      <c r="B126" s="160" t="str">
        <f t="shared" si="16"/>
        <v/>
      </c>
      <c r="C126" s="472">
        <f>IF(D93="","-",+C125+1)</f>
        <v>2046</v>
      </c>
      <c r="D126" s="346">
        <f>IF(F125+SUM(E$99:E125)=D$92,F125,D$92-SUM(E$99:E125))</f>
        <v>1763912.75</v>
      </c>
      <c r="E126" s="484">
        <f t="shared" si="17"/>
        <v>123380</v>
      </c>
      <c r="F126" s="485">
        <f t="shared" si="18"/>
        <v>1640532.75</v>
      </c>
      <c r="G126" s="485">
        <f t="shared" si="19"/>
        <v>1702222.75</v>
      </c>
      <c r="H126" s="613">
        <f t="shared" si="20"/>
        <v>317080.68108419917</v>
      </c>
      <c r="I126" s="614">
        <f t="shared" si="21"/>
        <v>317080.68108419917</v>
      </c>
      <c r="J126" s="478">
        <f t="shared" si="15"/>
        <v>0</v>
      </c>
      <c r="K126" s="478"/>
      <c r="L126" s="487"/>
      <c r="M126" s="478">
        <f t="shared" si="22"/>
        <v>0</v>
      </c>
      <c r="N126" s="487"/>
      <c r="O126" s="478">
        <f t="shared" si="13"/>
        <v>0</v>
      </c>
      <c r="P126" s="478">
        <f t="shared" si="14"/>
        <v>0</v>
      </c>
    </row>
    <row r="127" spans="2:16" ht="12.5">
      <c r="B127" s="160" t="str">
        <f t="shared" si="16"/>
        <v/>
      </c>
      <c r="C127" s="472">
        <f>IF(D93="","-",+C126+1)</f>
        <v>2047</v>
      </c>
      <c r="D127" s="346">
        <f>IF(F126+SUM(E$99:E126)=D$92,F126,D$92-SUM(E$99:E126))</f>
        <v>1640532.75</v>
      </c>
      <c r="E127" s="484">
        <f t="shared" si="17"/>
        <v>123380</v>
      </c>
      <c r="F127" s="485">
        <f t="shared" si="18"/>
        <v>1517152.75</v>
      </c>
      <c r="G127" s="485">
        <f t="shared" si="19"/>
        <v>1578842.75</v>
      </c>
      <c r="H127" s="613">
        <f t="shared" si="20"/>
        <v>303040.9262799772</v>
      </c>
      <c r="I127" s="614">
        <f t="shared" si="21"/>
        <v>303040.9262799772</v>
      </c>
      <c r="J127" s="478">
        <f t="shared" si="15"/>
        <v>0</v>
      </c>
      <c r="K127" s="478"/>
      <c r="L127" s="487"/>
      <c r="M127" s="478">
        <f t="shared" si="22"/>
        <v>0</v>
      </c>
      <c r="N127" s="487"/>
      <c r="O127" s="478">
        <f t="shared" si="13"/>
        <v>0</v>
      </c>
      <c r="P127" s="478">
        <f t="shared" si="14"/>
        <v>0</v>
      </c>
    </row>
    <row r="128" spans="2:16" ht="12.5">
      <c r="B128" s="160" t="str">
        <f t="shared" si="16"/>
        <v/>
      </c>
      <c r="C128" s="472">
        <f>IF(D93="","-",+C127+1)</f>
        <v>2048</v>
      </c>
      <c r="D128" s="346">
        <f>IF(F127+SUM(E$99:E127)=D$92,F127,D$92-SUM(E$99:E127))</f>
        <v>1517152.75</v>
      </c>
      <c r="E128" s="484">
        <f t="shared" si="17"/>
        <v>123380</v>
      </c>
      <c r="F128" s="485">
        <f t="shared" si="18"/>
        <v>1393772.75</v>
      </c>
      <c r="G128" s="485">
        <f t="shared" si="19"/>
        <v>1455462.75</v>
      </c>
      <c r="H128" s="613">
        <f t="shared" si="20"/>
        <v>289001.17147575517</v>
      </c>
      <c r="I128" s="614">
        <f t="shared" si="21"/>
        <v>289001.17147575517</v>
      </c>
      <c r="J128" s="478">
        <f t="shared" si="15"/>
        <v>0</v>
      </c>
      <c r="K128" s="478"/>
      <c r="L128" s="487"/>
      <c r="M128" s="478">
        <f t="shared" si="22"/>
        <v>0</v>
      </c>
      <c r="N128" s="487"/>
      <c r="O128" s="478">
        <f t="shared" si="13"/>
        <v>0</v>
      </c>
      <c r="P128" s="478">
        <f t="shared" si="14"/>
        <v>0</v>
      </c>
    </row>
    <row r="129" spans="2:16" ht="12.5">
      <c r="B129" s="160" t="str">
        <f t="shared" si="16"/>
        <v/>
      </c>
      <c r="C129" s="472">
        <f>IF(D93="","-",+C128+1)</f>
        <v>2049</v>
      </c>
      <c r="D129" s="346">
        <f>IF(F128+SUM(E$99:E128)=D$92,F128,D$92-SUM(E$99:E128))</f>
        <v>1393772.75</v>
      </c>
      <c r="E129" s="484">
        <f t="shared" si="17"/>
        <v>123380</v>
      </c>
      <c r="F129" s="485">
        <f t="shared" si="18"/>
        <v>1270392.75</v>
      </c>
      <c r="G129" s="485">
        <f t="shared" si="19"/>
        <v>1332082.75</v>
      </c>
      <c r="H129" s="613">
        <f t="shared" si="20"/>
        <v>274961.41667153314</v>
      </c>
      <c r="I129" s="614">
        <f t="shared" si="21"/>
        <v>274961.41667153314</v>
      </c>
      <c r="J129" s="478">
        <f t="shared" si="15"/>
        <v>0</v>
      </c>
      <c r="K129" s="478"/>
      <c r="L129" s="487"/>
      <c r="M129" s="478">
        <f t="shared" si="22"/>
        <v>0</v>
      </c>
      <c r="N129" s="487"/>
      <c r="O129" s="478">
        <f t="shared" si="13"/>
        <v>0</v>
      </c>
      <c r="P129" s="478">
        <f t="shared" si="14"/>
        <v>0</v>
      </c>
    </row>
    <row r="130" spans="2:16" ht="12.5">
      <c r="B130" s="160" t="str">
        <f t="shared" si="16"/>
        <v/>
      </c>
      <c r="C130" s="472">
        <f>IF(D93="","-",+C129+1)</f>
        <v>2050</v>
      </c>
      <c r="D130" s="346">
        <f>IF(F129+SUM(E$99:E129)=D$92,F129,D$92-SUM(E$99:E129))</f>
        <v>1270392.75</v>
      </c>
      <c r="E130" s="484">
        <f t="shared" si="17"/>
        <v>123380</v>
      </c>
      <c r="F130" s="485">
        <f t="shared" si="18"/>
        <v>1147012.75</v>
      </c>
      <c r="G130" s="485">
        <f t="shared" si="19"/>
        <v>1208702.75</v>
      </c>
      <c r="H130" s="613">
        <f t="shared" si="20"/>
        <v>260921.66186731114</v>
      </c>
      <c r="I130" s="614">
        <f t="shared" si="21"/>
        <v>260921.66186731114</v>
      </c>
      <c r="J130" s="478">
        <f t="shared" si="15"/>
        <v>0</v>
      </c>
      <c r="K130" s="478"/>
      <c r="L130" s="487"/>
      <c r="M130" s="478">
        <f t="shared" si="22"/>
        <v>0</v>
      </c>
      <c r="N130" s="487"/>
      <c r="O130" s="478">
        <f t="shared" si="13"/>
        <v>0</v>
      </c>
      <c r="P130" s="478">
        <f t="shared" si="14"/>
        <v>0</v>
      </c>
    </row>
    <row r="131" spans="2:16" ht="12.5">
      <c r="B131" s="160" t="str">
        <f t="shared" si="16"/>
        <v/>
      </c>
      <c r="C131" s="472">
        <f>IF(D93="","-",+C130+1)</f>
        <v>2051</v>
      </c>
      <c r="D131" s="346">
        <f>IF(F130+SUM(E$99:E130)=D$92,F130,D$92-SUM(E$99:E130))</f>
        <v>1147012.75</v>
      </c>
      <c r="E131" s="484">
        <f t="shared" si="17"/>
        <v>123380</v>
      </c>
      <c r="F131" s="485">
        <f t="shared" si="18"/>
        <v>1023632.75</v>
      </c>
      <c r="G131" s="485">
        <f t="shared" si="19"/>
        <v>1085322.75</v>
      </c>
      <c r="H131" s="613">
        <f t="shared" si="20"/>
        <v>246881.90706308914</v>
      </c>
      <c r="I131" s="614">
        <f t="shared" si="21"/>
        <v>246881.90706308914</v>
      </c>
      <c r="J131" s="478">
        <f t="shared" ref="J131:J154" si="23">+I541-H541</f>
        <v>0</v>
      </c>
      <c r="K131" s="478"/>
      <c r="L131" s="487"/>
      <c r="M131" s="478">
        <f t="shared" ref="M131:M154" si="24">IF(L541&lt;&gt;0,+H541-L541,0)</f>
        <v>0</v>
      </c>
      <c r="N131" s="487"/>
      <c r="O131" s="478">
        <f t="shared" ref="O131:O154" si="25">IF(N541&lt;&gt;0,+I541-N541,0)</f>
        <v>0</v>
      </c>
      <c r="P131" s="478">
        <f t="shared" ref="P131:P154" si="26">+O541-M541</f>
        <v>0</v>
      </c>
    </row>
    <row r="132" spans="2:16" ht="12.5">
      <c r="B132" s="160" t="str">
        <f t="shared" si="16"/>
        <v/>
      </c>
      <c r="C132" s="472">
        <f>IF(D93="","-",+C131+1)</f>
        <v>2052</v>
      </c>
      <c r="D132" s="346">
        <f>IF(F131+SUM(E$99:E131)=D$92,F131,D$92-SUM(E$99:E131))</f>
        <v>1023632.75</v>
      </c>
      <c r="E132" s="484">
        <f t="shared" si="17"/>
        <v>123380</v>
      </c>
      <c r="F132" s="485">
        <f t="shared" si="18"/>
        <v>900252.75</v>
      </c>
      <c r="G132" s="485">
        <f t="shared" si="19"/>
        <v>961942.75</v>
      </c>
      <c r="H132" s="613">
        <f t="shared" si="20"/>
        <v>232842.15225886714</v>
      </c>
      <c r="I132" s="614">
        <f t="shared" si="21"/>
        <v>232842.15225886714</v>
      </c>
      <c r="J132" s="478">
        <f t="shared" si="23"/>
        <v>0</v>
      </c>
      <c r="K132" s="478"/>
      <c r="L132" s="487"/>
      <c r="M132" s="478">
        <f t="shared" si="24"/>
        <v>0</v>
      </c>
      <c r="N132" s="487"/>
      <c r="O132" s="478">
        <f t="shared" si="25"/>
        <v>0</v>
      </c>
      <c r="P132" s="478">
        <f t="shared" si="26"/>
        <v>0</v>
      </c>
    </row>
    <row r="133" spans="2:16" ht="12.5">
      <c r="B133" s="160" t="str">
        <f t="shared" si="16"/>
        <v/>
      </c>
      <c r="C133" s="472">
        <f>IF(D93="","-",+C132+1)</f>
        <v>2053</v>
      </c>
      <c r="D133" s="346">
        <f>IF(F132+SUM(E$99:E132)=D$92,F132,D$92-SUM(E$99:E132))</f>
        <v>900252.75</v>
      </c>
      <c r="E133" s="484">
        <f t="shared" si="17"/>
        <v>123380</v>
      </c>
      <c r="F133" s="485">
        <f t="shared" si="18"/>
        <v>776872.75</v>
      </c>
      <c r="G133" s="485">
        <f t="shared" si="19"/>
        <v>838562.75</v>
      </c>
      <c r="H133" s="613">
        <f t="shared" si="20"/>
        <v>218802.39745464514</v>
      </c>
      <c r="I133" s="614">
        <f t="shared" si="21"/>
        <v>218802.39745464514</v>
      </c>
      <c r="J133" s="478">
        <f t="shared" si="23"/>
        <v>0</v>
      </c>
      <c r="K133" s="478"/>
      <c r="L133" s="487"/>
      <c r="M133" s="478">
        <f t="shared" si="24"/>
        <v>0</v>
      </c>
      <c r="N133" s="487"/>
      <c r="O133" s="478">
        <f t="shared" si="25"/>
        <v>0</v>
      </c>
      <c r="P133" s="478">
        <f t="shared" si="26"/>
        <v>0</v>
      </c>
    </row>
    <row r="134" spans="2:16" ht="12.5">
      <c r="B134" s="160" t="str">
        <f t="shared" si="16"/>
        <v/>
      </c>
      <c r="C134" s="472">
        <f>IF(D93="","-",+C133+1)</f>
        <v>2054</v>
      </c>
      <c r="D134" s="346">
        <f>IF(F133+SUM(E$99:E133)=D$92,F133,D$92-SUM(E$99:E133))</f>
        <v>776872.75</v>
      </c>
      <c r="E134" s="484">
        <f t="shared" si="17"/>
        <v>123380</v>
      </c>
      <c r="F134" s="485">
        <f t="shared" si="18"/>
        <v>653492.75</v>
      </c>
      <c r="G134" s="485">
        <f t="shared" si="19"/>
        <v>715182.75</v>
      </c>
      <c r="H134" s="613">
        <f t="shared" si="20"/>
        <v>204762.64265042311</v>
      </c>
      <c r="I134" s="614">
        <f t="shared" si="21"/>
        <v>204762.64265042311</v>
      </c>
      <c r="J134" s="478">
        <f t="shared" si="23"/>
        <v>0</v>
      </c>
      <c r="K134" s="478"/>
      <c r="L134" s="487"/>
      <c r="M134" s="478">
        <f t="shared" si="24"/>
        <v>0</v>
      </c>
      <c r="N134" s="487"/>
      <c r="O134" s="478">
        <f t="shared" si="25"/>
        <v>0</v>
      </c>
      <c r="P134" s="478">
        <f t="shared" si="26"/>
        <v>0</v>
      </c>
    </row>
    <row r="135" spans="2:16" ht="12.5">
      <c r="B135" s="160" t="str">
        <f t="shared" si="16"/>
        <v/>
      </c>
      <c r="C135" s="472">
        <f>IF(D93="","-",+C134+1)</f>
        <v>2055</v>
      </c>
      <c r="D135" s="346">
        <f>IF(F134+SUM(E$99:E134)=D$92,F134,D$92-SUM(E$99:E134))</f>
        <v>653492.75</v>
      </c>
      <c r="E135" s="484">
        <f t="shared" si="17"/>
        <v>123380</v>
      </c>
      <c r="F135" s="485">
        <f t="shared" si="18"/>
        <v>530112.75</v>
      </c>
      <c r="G135" s="485">
        <f t="shared" si="19"/>
        <v>591802.75</v>
      </c>
      <c r="H135" s="613">
        <f t="shared" si="20"/>
        <v>190722.88784620113</v>
      </c>
      <c r="I135" s="614">
        <f t="shared" si="21"/>
        <v>190722.88784620113</v>
      </c>
      <c r="J135" s="478">
        <f t="shared" si="23"/>
        <v>0</v>
      </c>
      <c r="K135" s="478"/>
      <c r="L135" s="487"/>
      <c r="M135" s="478">
        <f t="shared" si="24"/>
        <v>0</v>
      </c>
      <c r="N135" s="487"/>
      <c r="O135" s="478">
        <f t="shared" si="25"/>
        <v>0</v>
      </c>
      <c r="P135" s="478">
        <f t="shared" si="26"/>
        <v>0</v>
      </c>
    </row>
    <row r="136" spans="2:16" ht="12.5">
      <c r="B136" s="160" t="str">
        <f t="shared" si="16"/>
        <v/>
      </c>
      <c r="C136" s="472">
        <f>IF(D93="","-",+C135+1)</f>
        <v>2056</v>
      </c>
      <c r="D136" s="346">
        <f>IF(F135+SUM(E$99:E135)=D$92,F135,D$92-SUM(E$99:E135))</f>
        <v>530112.75</v>
      </c>
      <c r="E136" s="484">
        <f t="shared" si="17"/>
        <v>123380</v>
      </c>
      <c r="F136" s="485">
        <f t="shared" si="18"/>
        <v>406732.75</v>
      </c>
      <c r="G136" s="485">
        <f t="shared" si="19"/>
        <v>468422.75</v>
      </c>
      <c r="H136" s="613">
        <f t="shared" si="20"/>
        <v>176683.1330419791</v>
      </c>
      <c r="I136" s="614">
        <f t="shared" si="21"/>
        <v>176683.1330419791</v>
      </c>
      <c r="J136" s="478">
        <f t="shared" si="23"/>
        <v>0</v>
      </c>
      <c r="K136" s="478"/>
      <c r="L136" s="487"/>
      <c r="M136" s="478">
        <f t="shared" si="24"/>
        <v>0</v>
      </c>
      <c r="N136" s="487"/>
      <c r="O136" s="478">
        <f t="shared" si="25"/>
        <v>0</v>
      </c>
      <c r="P136" s="478">
        <f t="shared" si="26"/>
        <v>0</v>
      </c>
    </row>
    <row r="137" spans="2:16" ht="12.5">
      <c r="B137" s="160" t="str">
        <f t="shared" si="16"/>
        <v/>
      </c>
      <c r="C137" s="472">
        <f>IF(D93="","-",+C136+1)</f>
        <v>2057</v>
      </c>
      <c r="D137" s="346">
        <f>IF(F136+SUM(E$99:E136)=D$92,F136,D$92-SUM(E$99:E136))</f>
        <v>406732.75</v>
      </c>
      <c r="E137" s="484">
        <f t="shared" si="17"/>
        <v>123380</v>
      </c>
      <c r="F137" s="485">
        <f t="shared" si="18"/>
        <v>283352.75</v>
      </c>
      <c r="G137" s="485">
        <f t="shared" si="19"/>
        <v>345042.75</v>
      </c>
      <c r="H137" s="613">
        <f t="shared" si="20"/>
        <v>162643.3782377571</v>
      </c>
      <c r="I137" s="614">
        <f t="shared" si="21"/>
        <v>162643.3782377571</v>
      </c>
      <c r="J137" s="478">
        <f t="shared" si="23"/>
        <v>0</v>
      </c>
      <c r="K137" s="478"/>
      <c r="L137" s="487"/>
      <c r="M137" s="478">
        <f t="shared" si="24"/>
        <v>0</v>
      </c>
      <c r="N137" s="487"/>
      <c r="O137" s="478">
        <f t="shared" si="25"/>
        <v>0</v>
      </c>
      <c r="P137" s="478">
        <f t="shared" si="26"/>
        <v>0</v>
      </c>
    </row>
    <row r="138" spans="2:16" ht="12.5">
      <c r="B138" s="160" t="str">
        <f t="shared" si="16"/>
        <v/>
      </c>
      <c r="C138" s="472">
        <f>IF(D93="","-",+C137+1)</f>
        <v>2058</v>
      </c>
      <c r="D138" s="346">
        <f>IF(F137+SUM(E$99:E137)=D$92,F137,D$92-SUM(E$99:E137))</f>
        <v>283352.75</v>
      </c>
      <c r="E138" s="484">
        <f t="shared" si="17"/>
        <v>123380</v>
      </c>
      <c r="F138" s="485">
        <f t="shared" si="18"/>
        <v>159972.75</v>
      </c>
      <c r="G138" s="485">
        <f t="shared" si="19"/>
        <v>221662.75</v>
      </c>
      <c r="H138" s="613">
        <f t="shared" si="20"/>
        <v>148603.6234335351</v>
      </c>
      <c r="I138" s="614">
        <f t="shared" si="21"/>
        <v>148603.6234335351</v>
      </c>
      <c r="J138" s="478">
        <f t="shared" si="23"/>
        <v>0</v>
      </c>
      <c r="K138" s="478"/>
      <c r="L138" s="487"/>
      <c r="M138" s="478">
        <f t="shared" si="24"/>
        <v>0</v>
      </c>
      <c r="N138" s="487"/>
      <c r="O138" s="478">
        <f t="shared" si="25"/>
        <v>0</v>
      </c>
      <c r="P138" s="478">
        <f t="shared" si="26"/>
        <v>0</v>
      </c>
    </row>
    <row r="139" spans="2:16" ht="12.5">
      <c r="B139" s="160" t="str">
        <f t="shared" si="16"/>
        <v/>
      </c>
      <c r="C139" s="472">
        <f>IF(D93="","-",+C138+1)</f>
        <v>2059</v>
      </c>
      <c r="D139" s="346">
        <f>IF(F138+SUM(E$99:E138)=D$92,F138,D$92-SUM(E$99:E138))</f>
        <v>159972.75</v>
      </c>
      <c r="E139" s="484">
        <f t="shared" si="17"/>
        <v>123380</v>
      </c>
      <c r="F139" s="485">
        <f t="shared" si="18"/>
        <v>36592.75</v>
      </c>
      <c r="G139" s="485">
        <f t="shared" si="19"/>
        <v>98282.75</v>
      </c>
      <c r="H139" s="613">
        <f t="shared" si="20"/>
        <v>134563.8686293131</v>
      </c>
      <c r="I139" s="614">
        <f t="shared" si="21"/>
        <v>134563.8686293131</v>
      </c>
      <c r="J139" s="478">
        <f t="shared" si="23"/>
        <v>0</v>
      </c>
      <c r="K139" s="478"/>
      <c r="L139" s="487"/>
      <c r="M139" s="478">
        <f t="shared" si="24"/>
        <v>0</v>
      </c>
      <c r="N139" s="487"/>
      <c r="O139" s="478">
        <f t="shared" si="25"/>
        <v>0</v>
      </c>
      <c r="P139" s="478">
        <f t="shared" si="26"/>
        <v>0</v>
      </c>
    </row>
    <row r="140" spans="2:16" ht="12.5">
      <c r="B140" s="160" t="str">
        <f t="shared" si="16"/>
        <v/>
      </c>
      <c r="C140" s="472">
        <f>IF(D93="","-",+C139+1)</f>
        <v>2060</v>
      </c>
      <c r="D140" s="346">
        <f>IF(F139+SUM(E$99:E139)=D$92,F139,D$92-SUM(E$99:E139))</f>
        <v>36592.75</v>
      </c>
      <c r="E140" s="484">
        <f t="shared" si="17"/>
        <v>36592.75</v>
      </c>
      <c r="F140" s="485">
        <f t="shared" si="18"/>
        <v>0</v>
      </c>
      <c r="G140" s="485">
        <f t="shared" si="19"/>
        <v>18296.375</v>
      </c>
      <c r="H140" s="613">
        <f t="shared" si="20"/>
        <v>38674.745613601051</v>
      </c>
      <c r="I140" s="614">
        <f t="shared" si="21"/>
        <v>38674.745613601051</v>
      </c>
      <c r="J140" s="478">
        <f t="shared" si="23"/>
        <v>0</v>
      </c>
      <c r="K140" s="478"/>
      <c r="L140" s="487"/>
      <c r="M140" s="478">
        <f t="shared" si="24"/>
        <v>0</v>
      </c>
      <c r="N140" s="487"/>
      <c r="O140" s="478">
        <f t="shared" si="25"/>
        <v>0</v>
      </c>
      <c r="P140" s="478">
        <f t="shared" si="26"/>
        <v>0</v>
      </c>
    </row>
    <row r="141" spans="2:16" ht="12.5">
      <c r="B141" s="160" t="str">
        <f t="shared" si="16"/>
        <v/>
      </c>
      <c r="C141" s="472">
        <f>IF(D93="","-",+C140+1)</f>
        <v>2061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613">
        <f t="shared" si="20"/>
        <v>0</v>
      </c>
      <c r="I141" s="614">
        <f t="shared" si="21"/>
        <v>0</v>
      </c>
      <c r="J141" s="478">
        <f t="shared" si="23"/>
        <v>0</v>
      </c>
      <c r="K141" s="478"/>
      <c r="L141" s="487"/>
      <c r="M141" s="478">
        <f t="shared" si="24"/>
        <v>0</v>
      </c>
      <c r="N141" s="487"/>
      <c r="O141" s="478">
        <f t="shared" si="25"/>
        <v>0</v>
      </c>
      <c r="P141" s="478">
        <f t="shared" si="26"/>
        <v>0</v>
      </c>
    </row>
    <row r="142" spans="2:16" ht="12.5">
      <c r="B142" s="160" t="str">
        <f t="shared" si="16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20"/>
        <v>0</v>
      </c>
      <c r="I142" s="614">
        <f t="shared" si="21"/>
        <v>0</v>
      </c>
      <c r="J142" s="478">
        <f t="shared" si="23"/>
        <v>0</v>
      </c>
      <c r="K142" s="478"/>
      <c r="L142" s="487"/>
      <c r="M142" s="478">
        <f t="shared" si="24"/>
        <v>0</v>
      </c>
      <c r="N142" s="487"/>
      <c r="O142" s="478">
        <f t="shared" si="25"/>
        <v>0</v>
      </c>
      <c r="P142" s="478">
        <f t="shared" si="26"/>
        <v>0</v>
      </c>
    </row>
    <row r="143" spans="2:16" ht="12.5">
      <c r="B143" s="160" t="str">
        <f t="shared" si="16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20"/>
        <v>0</v>
      </c>
      <c r="I143" s="614">
        <f t="shared" si="21"/>
        <v>0</v>
      </c>
      <c r="J143" s="478">
        <f t="shared" si="23"/>
        <v>0</v>
      </c>
      <c r="K143" s="478"/>
      <c r="L143" s="487"/>
      <c r="M143" s="478">
        <f t="shared" si="24"/>
        <v>0</v>
      </c>
      <c r="N143" s="487"/>
      <c r="O143" s="478">
        <f t="shared" si="25"/>
        <v>0</v>
      </c>
      <c r="P143" s="478">
        <f t="shared" si="26"/>
        <v>0</v>
      </c>
    </row>
    <row r="144" spans="2:16" ht="12.5">
      <c r="B144" s="160" t="str">
        <f t="shared" si="16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20"/>
        <v>0</v>
      </c>
      <c r="I144" s="614">
        <f t="shared" si="21"/>
        <v>0</v>
      </c>
      <c r="J144" s="478">
        <f t="shared" si="23"/>
        <v>0</v>
      </c>
      <c r="K144" s="478"/>
      <c r="L144" s="487"/>
      <c r="M144" s="478">
        <f t="shared" si="24"/>
        <v>0</v>
      </c>
      <c r="N144" s="487"/>
      <c r="O144" s="478">
        <f t="shared" si="25"/>
        <v>0</v>
      </c>
      <c r="P144" s="478">
        <f t="shared" si="26"/>
        <v>0</v>
      </c>
    </row>
    <row r="145" spans="2:16" ht="12.5">
      <c r="B145" s="160" t="str">
        <f t="shared" si="16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20"/>
        <v>0</v>
      </c>
      <c r="I145" s="614">
        <f t="shared" si="21"/>
        <v>0</v>
      </c>
      <c r="J145" s="478">
        <f t="shared" si="23"/>
        <v>0</v>
      </c>
      <c r="K145" s="478"/>
      <c r="L145" s="487"/>
      <c r="M145" s="478">
        <f t="shared" si="24"/>
        <v>0</v>
      </c>
      <c r="N145" s="487"/>
      <c r="O145" s="478">
        <f t="shared" si="25"/>
        <v>0</v>
      </c>
      <c r="P145" s="478">
        <f t="shared" si="26"/>
        <v>0</v>
      </c>
    </row>
    <row r="146" spans="2:16" ht="12.5">
      <c r="B146" s="160" t="str">
        <f t="shared" si="16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20"/>
        <v>0</v>
      </c>
      <c r="I146" s="614">
        <f t="shared" si="21"/>
        <v>0</v>
      </c>
      <c r="J146" s="478">
        <f t="shared" si="23"/>
        <v>0</v>
      </c>
      <c r="K146" s="478"/>
      <c r="L146" s="487"/>
      <c r="M146" s="478">
        <f t="shared" si="24"/>
        <v>0</v>
      </c>
      <c r="N146" s="487"/>
      <c r="O146" s="478">
        <f t="shared" si="25"/>
        <v>0</v>
      </c>
      <c r="P146" s="478">
        <f t="shared" si="26"/>
        <v>0</v>
      </c>
    </row>
    <row r="147" spans="2:16" ht="12.5">
      <c r="B147" s="160" t="str">
        <f t="shared" si="16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20"/>
        <v>0</v>
      </c>
      <c r="I147" s="614">
        <f t="shared" si="21"/>
        <v>0</v>
      </c>
      <c r="J147" s="478">
        <f t="shared" si="23"/>
        <v>0</v>
      </c>
      <c r="K147" s="478"/>
      <c r="L147" s="487"/>
      <c r="M147" s="478">
        <f t="shared" si="24"/>
        <v>0</v>
      </c>
      <c r="N147" s="487"/>
      <c r="O147" s="478">
        <f t="shared" si="25"/>
        <v>0</v>
      </c>
      <c r="P147" s="478">
        <f t="shared" si="26"/>
        <v>0</v>
      </c>
    </row>
    <row r="148" spans="2:16" ht="12.5">
      <c r="B148" s="160" t="str">
        <f t="shared" si="16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20"/>
        <v>0</v>
      </c>
      <c r="I148" s="614">
        <f t="shared" si="21"/>
        <v>0</v>
      </c>
      <c r="J148" s="478">
        <f t="shared" si="23"/>
        <v>0</v>
      </c>
      <c r="K148" s="478"/>
      <c r="L148" s="487"/>
      <c r="M148" s="478">
        <f t="shared" si="24"/>
        <v>0</v>
      </c>
      <c r="N148" s="487"/>
      <c r="O148" s="478">
        <f t="shared" si="25"/>
        <v>0</v>
      </c>
      <c r="P148" s="478">
        <f t="shared" si="26"/>
        <v>0</v>
      </c>
    </row>
    <row r="149" spans="2:16" ht="12.5">
      <c r="B149" s="160" t="str">
        <f t="shared" si="16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20"/>
        <v>0</v>
      </c>
      <c r="I149" s="614">
        <f t="shared" si="21"/>
        <v>0</v>
      </c>
      <c r="J149" s="478">
        <f t="shared" si="23"/>
        <v>0</v>
      </c>
      <c r="K149" s="478"/>
      <c r="L149" s="487"/>
      <c r="M149" s="478">
        <f t="shared" si="24"/>
        <v>0</v>
      </c>
      <c r="N149" s="487"/>
      <c r="O149" s="478">
        <f t="shared" si="25"/>
        <v>0</v>
      </c>
      <c r="P149" s="478">
        <f t="shared" si="26"/>
        <v>0</v>
      </c>
    </row>
    <row r="150" spans="2:16" ht="12.5">
      <c r="B150" s="160" t="str">
        <f t="shared" si="16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20"/>
        <v>0</v>
      </c>
      <c r="I150" s="614">
        <f t="shared" si="21"/>
        <v>0</v>
      </c>
      <c r="J150" s="478">
        <f t="shared" si="23"/>
        <v>0</v>
      </c>
      <c r="K150" s="478"/>
      <c r="L150" s="487"/>
      <c r="M150" s="478">
        <f t="shared" si="24"/>
        <v>0</v>
      </c>
      <c r="N150" s="487"/>
      <c r="O150" s="478">
        <f t="shared" si="25"/>
        <v>0</v>
      </c>
      <c r="P150" s="478">
        <f t="shared" si="26"/>
        <v>0</v>
      </c>
    </row>
    <row r="151" spans="2:16" ht="12.5">
      <c r="B151" s="160" t="str">
        <f t="shared" si="16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20"/>
        <v>0</v>
      </c>
      <c r="I151" s="614">
        <f t="shared" si="21"/>
        <v>0</v>
      </c>
      <c r="J151" s="478">
        <f t="shared" si="23"/>
        <v>0</v>
      </c>
      <c r="K151" s="478"/>
      <c r="L151" s="487"/>
      <c r="M151" s="478">
        <f t="shared" si="24"/>
        <v>0</v>
      </c>
      <c r="N151" s="487"/>
      <c r="O151" s="478">
        <f t="shared" si="25"/>
        <v>0</v>
      </c>
      <c r="P151" s="478">
        <f t="shared" si="26"/>
        <v>0</v>
      </c>
    </row>
    <row r="152" spans="2:16" ht="12.5">
      <c r="B152" s="160" t="str">
        <f t="shared" si="16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20"/>
        <v>0</v>
      </c>
      <c r="I152" s="614">
        <f t="shared" si="21"/>
        <v>0</v>
      </c>
      <c r="J152" s="478">
        <f t="shared" si="23"/>
        <v>0</v>
      </c>
      <c r="K152" s="478"/>
      <c r="L152" s="487"/>
      <c r="M152" s="478">
        <f t="shared" si="24"/>
        <v>0</v>
      </c>
      <c r="N152" s="487"/>
      <c r="O152" s="478">
        <f t="shared" si="25"/>
        <v>0</v>
      </c>
      <c r="P152" s="478">
        <f t="shared" si="26"/>
        <v>0</v>
      </c>
    </row>
    <row r="153" spans="2:16" ht="12.5">
      <c r="B153" s="160" t="str">
        <f t="shared" si="16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20"/>
        <v>0</v>
      </c>
      <c r="I153" s="614">
        <f t="shared" si="21"/>
        <v>0</v>
      </c>
      <c r="J153" s="478">
        <f t="shared" si="23"/>
        <v>0</v>
      </c>
      <c r="K153" s="478"/>
      <c r="L153" s="487"/>
      <c r="M153" s="478">
        <f t="shared" si="24"/>
        <v>0</v>
      </c>
      <c r="N153" s="487"/>
      <c r="O153" s="478">
        <f t="shared" si="25"/>
        <v>0</v>
      </c>
      <c r="P153" s="478">
        <f t="shared" si="26"/>
        <v>0</v>
      </c>
    </row>
    <row r="154" spans="2:16" ht="13" thickBot="1">
      <c r="B154" s="160" t="str">
        <f t="shared" si="16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20"/>
        <v>0</v>
      </c>
      <c r="I154" s="616">
        <f t="shared" si="21"/>
        <v>0</v>
      </c>
      <c r="J154" s="495">
        <f t="shared" si="23"/>
        <v>0</v>
      </c>
      <c r="K154" s="478"/>
      <c r="L154" s="494"/>
      <c r="M154" s="495">
        <f t="shared" si="24"/>
        <v>0</v>
      </c>
      <c r="N154" s="494"/>
      <c r="O154" s="495">
        <f t="shared" si="25"/>
        <v>0</v>
      </c>
      <c r="P154" s="495">
        <f t="shared" si="26"/>
        <v>0</v>
      </c>
    </row>
    <row r="155" spans="2:16" ht="12.5">
      <c r="C155" s="346" t="s">
        <v>77</v>
      </c>
      <c r="D155" s="347"/>
      <c r="E155" s="347">
        <f>SUM(E99:E154)</f>
        <v>5058589</v>
      </c>
      <c r="F155" s="347"/>
      <c r="G155" s="347"/>
      <c r="H155" s="347">
        <f>SUM(H99:H154)</f>
        <v>16722122.237318348</v>
      </c>
      <c r="I155" s="347">
        <f>SUM(I99:I154)</f>
        <v>16722122.237318348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2"/>
  <sheetViews>
    <sheetView zoomScale="86" zoomScaleNormal="86" workbookViewId="0">
      <selection activeCell="J25" sqref="J2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28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347790.10300118127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347790.10300118127</v>
      </c>
      <c r="O6" s="232"/>
      <c r="P6" s="232"/>
    </row>
    <row r="7" spans="1:16" ht="13.5" thickBot="1">
      <c r="C7" s="431" t="s">
        <v>46</v>
      </c>
      <c r="D7" s="622" t="s">
        <v>336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6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339</v>
      </c>
      <c r="E9" s="623" t="s">
        <v>340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2536388.52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2020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65035.603076923078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2020</v>
      </c>
      <c r="D17" s="584">
        <v>0</v>
      </c>
      <c r="E17" s="585">
        <v>19964.285714285714</v>
      </c>
      <c r="F17" s="584">
        <v>1657035.7142857143</v>
      </c>
      <c r="G17" s="585">
        <v>109448.17204091245</v>
      </c>
      <c r="H17" s="587">
        <v>109448.17204091245</v>
      </c>
      <c r="I17" s="475">
        <f>H17-G17</f>
        <v>0</v>
      </c>
      <c r="J17" s="475"/>
      <c r="K17" s="554">
        <f>+G17</f>
        <v>109448.17204091245</v>
      </c>
      <c r="L17" s="477">
        <f t="shared" ref="L17:L18" si="0">IF(K17&lt;&gt;0,+G17-K17,0)</f>
        <v>0</v>
      </c>
      <c r="M17" s="554">
        <f>+H17</f>
        <v>109448.17204091245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2021</v>
      </c>
      <c r="D18" s="584">
        <v>2325985.7142857141</v>
      </c>
      <c r="E18" s="585">
        <v>54556.976744186046</v>
      </c>
      <c r="F18" s="584">
        <v>2271428.737541528</v>
      </c>
      <c r="G18" s="585">
        <v>302407.38707255269</v>
      </c>
      <c r="H18" s="587">
        <v>302407.38707255269</v>
      </c>
      <c r="I18" s="475">
        <f>H18-G18</f>
        <v>0</v>
      </c>
      <c r="J18" s="475"/>
      <c r="K18" s="478">
        <f>+G18</f>
        <v>302407.38707255269</v>
      </c>
      <c r="L18" s="478">
        <f t="shared" si="0"/>
        <v>0</v>
      </c>
      <c r="M18" s="478">
        <f>+H18</f>
        <v>302407.38707255269</v>
      </c>
      <c r="N18" s="478">
        <f t="shared" si="1"/>
        <v>0</v>
      </c>
      <c r="O18" s="478">
        <f t="shared" si="2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2022</v>
      </c>
      <c r="D19" s="584">
        <v>2462567.7375415284</v>
      </c>
      <c r="E19" s="585">
        <v>60406.880952380954</v>
      </c>
      <c r="F19" s="584">
        <v>2402160.8565891474</v>
      </c>
      <c r="G19" s="585">
        <v>322643.1060760754</v>
      </c>
      <c r="H19" s="587">
        <v>322643.1060760754</v>
      </c>
      <c r="I19" s="475">
        <f t="shared" ref="I19:I71" si="3">H19-G19</f>
        <v>0</v>
      </c>
      <c r="J19" s="475"/>
      <c r="K19" s="478">
        <f>+G19</f>
        <v>322643.1060760754</v>
      </c>
      <c r="L19" s="478">
        <f t="shared" ref="L19" si="4">IF(K19&lt;&gt;0,+G19-K19,0)</f>
        <v>0</v>
      </c>
      <c r="M19" s="478">
        <f>+H19</f>
        <v>322643.1060760754</v>
      </c>
      <c r="N19" s="478">
        <f t="shared" si="1"/>
        <v>0</v>
      </c>
      <c r="O19" s="478">
        <f t="shared" si="2"/>
        <v>0</v>
      </c>
      <c r="P19" s="242"/>
    </row>
    <row r="20" spans="2:16" ht="12.5">
      <c r="B20" s="160" t="str">
        <f t="shared" ref="B20:B72" si="5">IF(D20=F19,"","IU")</f>
        <v>IU</v>
      </c>
      <c r="C20" s="472">
        <f>IF(D11="","-",+C19+1)</f>
        <v>2023</v>
      </c>
      <c r="D20" s="483">
        <f>IF(F19+SUM(E$17:E19)=D$10,F19,D$10-SUM(E$17:E19))</f>
        <v>2401460.3765891474</v>
      </c>
      <c r="E20" s="484">
        <f t="shared" ref="E20:E71" si="6">IF(+I$14&lt;F19,I$14,D20)</f>
        <v>65035.603076923078</v>
      </c>
      <c r="F20" s="485">
        <f t="shared" ref="F20:F71" si="7">+D20-E20</f>
        <v>2336424.7735122242</v>
      </c>
      <c r="G20" s="486">
        <f t="shared" ref="G20:G71" si="8">(D20+F20)/2*I$12+E20</f>
        <v>347790.10300118127</v>
      </c>
      <c r="H20" s="455">
        <f t="shared" ref="H20:H71" si="9">+(D20+F20)/2*I$13+E20</f>
        <v>347790.10300118127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 ht="12.5">
      <c r="B21" s="160" t="str">
        <f t="shared" si="5"/>
        <v/>
      </c>
      <c r="C21" s="472">
        <f>IF(D11="","-",+C20+1)</f>
        <v>2024</v>
      </c>
      <c r="D21" s="483">
        <f>IF(F20+SUM(E$17:E20)=D$10,F20,D$10-SUM(E$17:E20))</f>
        <v>2336424.7735122242</v>
      </c>
      <c r="E21" s="484">
        <f t="shared" si="6"/>
        <v>65035.603076923078</v>
      </c>
      <c r="F21" s="485">
        <f t="shared" si="7"/>
        <v>2271389.170435301</v>
      </c>
      <c r="G21" s="486">
        <f t="shared" si="8"/>
        <v>340027.52166258788</v>
      </c>
      <c r="H21" s="455">
        <f t="shared" si="9"/>
        <v>340027.52166258788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 ht="12.5">
      <c r="B22" s="160" t="str">
        <f t="shared" si="5"/>
        <v/>
      </c>
      <c r="C22" s="472">
        <f>IF(D11="","-",+C21+1)</f>
        <v>2025</v>
      </c>
      <c r="D22" s="483">
        <f>IF(F21+SUM(E$17:E21)=D$10,F21,D$10-SUM(E$17:E21))</f>
        <v>2271389.170435301</v>
      </c>
      <c r="E22" s="484">
        <f t="shared" si="6"/>
        <v>65035.603076923078</v>
      </c>
      <c r="F22" s="485">
        <f t="shared" si="7"/>
        <v>2206353.5673583779</v>
      </c>
      <c r="G22" s="486">
        <f t="shared" si="8"/>
        <v>332264.94032399438</v>
      </c>
      <c r="H22" s="455">
        <f t="shared" si="9"/>
        <v>332264.94032399438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 ht="12.5">
      <c r="B23" s="160" t="str">
        <f t="shared" si="5"/>
        <v/>
      </c>
      <c r="C23" s="472">
        <f>IF(D11="","-",+C22+1)</f>
        <v>2026</v>
      </c>
      <c r="D23" s="483">
        <f>IF(F22+SUM(E$17:E22)=D$10,F22,D$10-SUM(E$17:E22))</f>
        <v>2206353.5673583779</v>
      </c>
      <c r="E23" s="484">
        <f t="shared" si="6"/>
        <v>65035.603076923078</v>
      </c>
      <c r="F23" s="485">
        <f t="shared" si="7"/>
        <v>2141317.9642814547</v>
      </c>
      <c r="G23" s="486">
        <f t="shared" si="8"/>
        <v>324502.35898540099</v>
      </c>
      <c r="H23" s="455">
        <f t="shared" si="9"/>
        <v>324502.35898540099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 ht="12.5">
      <c r="B24" s="160" t="str">
        <f t="shared" si="5"/>
        <v/>
      </c>
      <c r="C24" s="472">
        <f>IF(D11="","-",+C23+1)</f>
        <v>2027</v>
      </c>
      <c r="D24" s="483">
        <f>IF(F23+SUM(E$17:E23)=D$10,F23,D$10-SUM(E$17:E23))</f>
        <v>2141317.9642814547</v>
      </c>
      <c r="E24" s="484">
        <f t="shared" si="6"/>
        <v>65035.603076923078</v>
      </c>
      <c r="F24" s="485">
        <f t="shared" si="7"/>
        <v>2076282.3612045315</v>
      </c>
      <c r="G24" s="486">
        <f t="shared" si="8"/>
        <v>316739.77764680749</v>
      </c>
      <c r="H24" s="455">
        <f t="shared" si="9"/>
        <v>316739.77764680749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 ht="12.5">
      <c r="B25" s="160" t="str">
        <f t="shared" si="5"/>
        <v/>
      </c>
      <c r="C25" s="472">
        <f>IF(D11="","-",+C24+1)</f>
        <v>2028</v>
      </c>
      <c r="D25" s="483">
        <f>IF(F24+SUM(E$17:E24)=D$10,F24,D$10-SUM(E$17:E24))</f>
        <v>2076282.3612045315</v>
      </c>
      <c r="E25" s="484">
        <f t="shared" si="6"/>
        <v>65035.603076923078</v>
      </c>
      <c r="F25" s="485">
        <f t="shared" si="7"/>
        <v>2011246.7581276083</v>
      </c>
      <c r="G25" s="486">
        <f t="shared" si="8"/>
        <v>308977.19630821404</v>
      </c>
      <c r="H25" s="455">
        <f t="shared" si="9"/>
        <v>308977.19630821404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 ht="12.5">
      <c r="B26" s="160" t="str">
        <f t="shared" si="5"/>
        <v/>
      </c>
      <c r="C26" s="472">
        <f>IF(D11="","-",+C25+1)</f>
        <v>2029</v>
      </c>
      <c r="D26" s="483">
        <f>IF(F25+SUM(E$17:E25)=D$10,F25,D$10-SUM(E$17:E25))</f>
        <v>2011246.7581276083</v>
      </c>
      <c r="E26" s="484">
        <f t="shared" si="6"/>
        <v>65035.603076923078</v>
      </c>
      <c r="F26" s="485">
        <f t="shared" si="7"/>
        <v>1946211.1550506852</v>
      </c>
      <c r="G26" s="486">
        <f t="shared" si="8"/>
        <v>301214.6149696206</v>
      </c>
      <c r="H26" s="455">
        <f t="shared" si="9"/>
        <v>301214.6149696206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 ht="12.5">
      <c r="B27" s="160" t="str">
        <f t="shared" si="5"/>
        <v/>
      </c>
      <c r="C27" s="472">
        <f>IF(D11="","-",+C26+1)</f>
        <v>2030</v>
      </c>
      <c r="D27" s="483">
        <f>IF(F26+SUM(E$17:E26)=D$10,F26,D$10-SUM(E$17:E26))</f>
        <v>1946211.1550506852</v>
      </c>
      <c r="E27" s="484">
        <f t="shared" si="6"/>
        <v>65035.603076923078</v>
      </c>
      <c r="F27" s="485">
        <f t="shared" si="7"/>
        <v>1881175.551973762</v>
      </c>
      <c r="G27" s="486">
        <f t="shared" si="8"/>
        <v>293452.03363102715</v>
      </c>
      <c r="H27" s="455">
        <f t="shared" si="9"/>
        <v>293452.03363102715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 ht="12.5">
      <c r="B28" s="160" t="str">
        <f t="shared" si="5"/>
        <v/>
      </c>
      <c r="C28" s="472">
        <f>IF(D11="","-",+C27+1)</f>
        <v>2031</v>
      </c>
      <c r="D28" s="483">
        <f>IF(F27+SUM(E$17:E27)=D$10,F27,D$10-SUM(E$17:E27))</f>
        <v>1881175.551973762</v>
      </c>
      <c r="E28" s="484">
        <f t="shared" si="6"/>
        <v>65035.603076923078</v>
      </c>
      <c r="F28" s="485">
        <f t="shared" si="7"/>
        <v>1816139.9488968388</v>
      </c>
      <c r="G28" s="486">
        <f t="shared" si="8"/>
        <v>285689.45229243371</v>
      </c>
      <c r="H28" s="455">
        <f t="shared" si="9"/>
        <v>285689.45229243371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 ht="12.5">
      <c r="B29" s="160" t="str">
        <f t="shared" si="5"/>
        <v/>
      </c>
      <c r="C29" s="472">
        <f>IF(D11="","-",+C28+1)</f>
        <v>2032</v>
      </c>
      <c r="D29" s="483">
        <f>IF(F28+SUM(E$17:E28)=D$10,F28,D$10-SUM(E$17:E28))</f>
        <v>1816139.9488968388</v>
      </c>
      <c r="E29" s="484">
        <f t="shared" si="6"/>
        <v>65035.603076923078</v>
      </c>
      <c r="F29" s="485">
        <f t="shared" si="7"/>
        <v>1751104.3458199156</v>
      </c>
      <c r="G29" s="486">
        <f t="shared" si="8"/>
        <v>277926.87095384026</v>
      </c>
      <c r="H29" s="455">
        <f t="shared" si="9"/>
        <v>277926.87095384026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 ht="12.5">
      <c r="B30" s="160" t="str">
        <f t="shared" si="5"/>
        <v/>
      </c>
      <c r="C30" s="472">
        <f>IF(D11="","-",+C29+1)</f>
        <v>2033</v>
      </c>
      <c r="D30" s="483">
        <f>IF(F29+SUM(E$17:E29)=D$10,F29,D$10-SUM(E$17:E29))</f>
        <v>1751104.3458199156</v>
      </c>
      <c r="E30" s="484">
        <f t="shared" si="6"/>
        <v>65035.603076923078</v>
      </c>
      <c r="F30" s="485">
        <f t="shared" si="7"/>
        <v>1686068.7427429925</v>
      </c>
      <c r="G30" s="486">
        <f t="shared" si="8"/>
        <v>270164.28961524682</v>
      </c>
      <c r="H30" s="455">
        <f t="shared" si="9"/>
        <v>270164.28961524682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 ht="12.5">
      <c r="B31" s="160" t="str">
        <f t="shared" si="5"/>
        <v/>
      </c>
      <c r="C31" s="472">
        <f>IF(D11="","-",+C30+1)</f>
        <v>2034</v>
      </c>
      <c r="D31" s="483">
        <f>IF(F30+SUM(E$17:E30)=D$10,F30,D$10-SUM(E$17:E30))</f>
        <v>1686068.7427429925</v>
      </c>
      <c r="E31" s="484">
        <f t="shared" si="6"/>
        <v>65035.603076923078</v>
      </c>
      <c r="F31" s="485">
        <f t="shared" si="7"/>
        <v>1621033.1396660693</v>
      </c>
      <c r="G31" s="486">
        <f t="shared" si="8"/>
        <v>262401.70827665337</v>
      </c>
      <c r="H31" s="455">
        <f t="shared" si="9"/>
        <v>262401.70827665337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 ht="12.5">
      <c r="B32" s="160" t="str">
        <f t="shared" si="5"/>
        <v/>
      </c>
      <c r="C32" s="472">
        <f>IF(D11="","-",+C31+1)</f>
        <v>2035</v>
      </c>
      <c r="D32" s="483">
        <f>IF(F31+SUM(E$17:E31)=D$10,F31,D$10-SUM(E$17:E31))</f>
        <v>1621033.1396660693</v>
      </c>
      <c r="E32" s="484">
        <f t="shared" si="6"/>
        <v>65035.603076923078</v>
      </c>
      <c r="F32" s="485">
        <f t="shared" si="7"/>
        <v>1555997.5365891461</v>
      </c>
      <c r="G32" s="486">
        <f t="shared" si="8"/>
        <v>254639.12693805993</v>
      </c>
      <c r="H32" s="455">
        <f t="shared" si="9"/>
        <v>254639.12693805993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 ht="12.5">
      <c r="B33" s="160" t="str">
        <f t="shared" si="5"/>
        <v/>
      </c>
      <c r="C33" s="472">
        <f>IF(D11="","-",+C32+1)</f>
        <v>2036</v>
      </c>
      <c r="D33" s="483">
        <f>IF(F32+SUM(E$17:E32)=D$10,F32,D$10-SUM(E$17:E32))</f>
        <v>1555997.5365891461</v>
      </c>
      <c r="E33" s="484">
        <f t="shared" si="6"/>
        <v>65035.603076923078</v>
      </c>
      <c r="F33" s="485">
        <f t="shared" si="7"/>
        <v>1490961.933512223</v>
      </c>
      <c r="G33" s="486">
        <f t="shared" si="8"/>
        <v>246876.54559946648</v>
      </c>
      <c r="H33" s="455">
        <f t="shared" si="9"/>
        <v>246876.54559946648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 ht="12.5">
      <c r="B34" s="160" t="str">
        <f t="shared" si="5"/>
        <v/>
      </c>
      <c r="C34" s="472">
        <f>IF(D11="","-",+C33+1)</f>
        <v>2037</v>
      </c>
      <c r="D34" s="483">
        <f>IF(F33+SUM(E$17:E33)=D$10,F33,D$10-SUM(E$17:E33))</f>
        <v>1490961.933512223</v>
      </c>
      <c r="E34" s="484">
        <f t="shared" si="6"/>
        <v>65035.603076923078</v>
      </c>
      <c r="F34" s="485">
        <f t="shared" si="7"/>
        <v>1425926.3304352998</v>
      </c>
      <c r="G34" s="486">
        <f t="shared" si="8"/>
        <v>239113.96426087304</v>
      </c>
      <c r="H34" s="455">
        <f t="shared" si="9"/>
        <v>239113.96426087304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 ht="12.5">
      <c r="B35" s="160" t="str">
        <f t="shared" si="5"/>
        <v/>
      </c>
      <c r="C35" s="472">
        <f>IF(D11="","-",+C34+1)</f>
        <v>2038</v>
      </c>
      <c r="D35" s="483">
        <f>IF(F34+SUM(E$17:E34)=D$10,F34,D$10-SUM(E$17:E34))</f>
        <v>1425926.3304352998</v>
      </c>
      <c r="E35" s="484">
        <f t="shared" si="6"/>
        <v>65035.603076923078</v>
      </c>
      <c r="F35" s="485">
        <f t="shared" si="7"/>
        <v>1360890.7273583766</v>
      </c>
      <c r="G35" s="486">
        <f t="shared" si="8"/>
        <v>231351.38292227959</v>
      </c>
      <c r="H35" s="455">
        <f t="shared" si="9"/>
        <v>231351.38292227959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 ht="12.5">
      <c r="B36" s="160" t="str">
        <f t="shared" si="5"/>
        <v/>
      </c>
      <c r="C36" s="472">
        <f>IF(D11="","-",+C35+1)</f>
        <v>2039</v>
      </c>
      <c r="D36" s="483">
        <f>IF(F35+SUM(E$17:E35)=D$10,F35,D$10-SUM(E$17:E35))</f>
        <v>1360890.7273583766</v>
      </c>
      <c r="E36" s="484">
        <f t="shared" si="6"/>
        <v>65035.603076923078</v>
      </c>
      <c r="F36" s="485">
        <f t="shared" si="7"/>
        <v>1295855.1242814534</v>
      </c>
      <c r="G36" s="486">
        <f t="shared" si="8"/>
        <v>223588.80158368615</v>
      </c>
      <c r="H36" s="455">
        <f t="shared" si="9"/>
        <v>223588.80158368615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 ht="12.5">
      <c r="B37" s="160" t="str">
        <f t="shared" si="5"/>
        <v/>
      </c>
      <c r="C37" s="472">
        <f>IF(D11="","-",+C36+1)</f>
        <v>2040</v>
      </c>
      <c r="D37" s="483">
        <f>IF(F36+SUM(E$17:E36)=D$10,F36,D$10-SUM(E$17:E36))</f>
        <v>1295855.1242814534</v>
      </c>
      <c r="E37" s="484">
        <f t="shared" si="6"/>
        <v>65035.603076923078</v>
      </c>
      <c r="F37" s="485">
        <f t="shared" si="7"/>
        <v>1230819.5212045303</v>
      </c>
      <c r="G37" s="486">
        <f t="shared" si="8"/>
        <v>215826.2202450927</v>
      </c>
      <c r="H37" s="455">
        <f t="shared" si="9"/>
        <v>215826.2202450927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 ht="12.5">
      <c r="B38" s="160" t="str">
        <f t="shared" si="5"/>
        <v/>
      </c>
      <c r="C38" s="472">
        <f>IF(D11="","-",+C37+1)</f>
        <v>2041</v>
      </c>
      <c r="D38" s="483">
        <f>IF(F37+SUM(E$17:E37)=D$10,F37,D$10-SUM(E$17:E37))</f>
        <v>1230819.5212045303</v>
      </c>
      <c r="E38" s="484">
        <f t="shared" si="6"/>
        <v>65035.603076923078</v>
      </c>
      <c r="F38" s="485">
        <f t="shared" si="7"/>
        <v>1165783.9181276071</v>
      </c>
      <c r="G38" s="486">
        <f t="shared" si="8"/>
        <v>208063.63890649925</v>
      </c>
      <c r="H38" s="455">
        <f t="shared" si="9"/>
        <v>208063.63890649925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 ht="12.5">
      <c r="B39" s="160" t="str">
        <f t="shared" si="5"/>
        <v/>
      </c>
      <c r="C39" s="472">
        <f>IF(D11="","-",+C38+1)</f>
        <v>2042</v>
      </c>
      <c r="D39" s="483">
        <f>IF(F38+SUM(E$17:E38)=D$10,F38,D$10-SUM(E$17:E38))</f>
        <v>1165783.9181276071</v>
      </c>
      <c r="E39" s="484">
        <f t="shared" si="6"/>
        <v>65035.603076923078</v>
      </c>
      <c r="F39" s="485">
        <f t="shared" si="7"/>
        <v>1100748.3150506839</v>
      </c>
      <c r="G39" s="486">
        <f t="shared" si="8"/>
        <v>200301.05756790581</v>
      </c>
      <c r="H39" s="455">
        <f t="shared" si="9"/>
        <v>200301.05756790581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 ht="12.5">
      <c r="B40" s="160" t="str">
        <f t="shared" si="5"/>
        <v/>
      </c>
      <c r="C40" s="472">
        <f>IF(D11="","-",+C39+1)</f>
        <v>2043</v>
      </c>
      <c r="D40" s="483">
        <f>IF(F39+SUM(E$17:E39)=D$10,F39,D$10-SUM(E$17:E39))</f>
        <v>1100748.3150506839</v>
      </c>
      <c r="E40" s="484">
        <f t="shared" si="6"/>
        <v>65035.603076923078</v>
      </c>
      <c r="F40" s="485">
        <f t="shared" si="7"/>
        <v>1035712.7119737609</v>
      </c>
      <c r="G40" s="486">
        <f t="shared" si="8"/>
        <v>192538.47622931233</v>
      </c>
      <c r="H40" s="455">
        <f t="shared" si="9"/>
        <v>192538.47622931233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 ht="12.5">
      <c r="B41" s="160" t="str">
        <f t="shared" si="5"/>
        <v/>
      </c>
      <c r="C41" s="472">
        <f>IF(D11="","-",+C40+1)</f>
        <v>2044</v>
      </c>
      <c r="D41" s="483">
        <f>IF(F40+SUM(E$17:E40)=D$10,F40,D$10-SUM(E$17:E40))</f>
        <v>1035712.7119737609</v>
      </c>
      <c r="E41" s="484">
        <f t="shared" si="6"/>
        <v>65035.603076923078</v>
      </c>
      <c r="F41" s="485">
        <f t="shared" si="7"/>
        <v>970677.1088968378</v>
      </c>
      <c r="G41" s="486">
        <f t="shared" si="8"/>
        <v>184775.89489071892</v>
      </c>
      <c r="H41" s="455">
        <f t="shared" si="9"/>
        <v>184775.89489071892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 ht="12.5">
      <c r="B42" s="160" t="str">
        <f t="shared" si="5"/>
        <v/>
      </c>
      <c r="C42" s="472">
        <f>IF(D11="","-",+C41+1)</f>
        <v>2045</v>
      </c>
      <c r="D42" s="483">
        <f>IF(F41+SUM(E$17:E41)=D$10,F41,D$10-SUM(E$17:E41))</f>
        <v>970677.1088968378</v>
      </c>
      <c r="E42" s="484">
        <f t="shared" si="6"/>
        <v>65035.603076923078</v>
      </c>
      <c r="F42" s="485">
        <f t="shared" si="7"/>
        <v>905641.50581991475</v>
      </c>
      <c r="G42" s="486">
        <f t="shared" si="8"/>
        <v>177013.31355212547</v>
      </c>
      <c r="H42" s="455">
        <f t="shared" si="9"/>
        <v>177013.31355212547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 ht="12.5">
      <c r="B43" s="160" t="str">
        <f t="shared" si="5"/>
        <v/>
      </c>
      <c r="C43" s="472">
        <f>IF(D11="","-",+C42+1)</f>
        <v>2046</v>
      </c>
      <c r="D43" s="483">
        <f>IF(F42+SUM(E$17:E42)=D$10,F42,D$10-SUM(E$17:E42))</f>
        <v>905641.50581991475</v>
      </c>
      <c r="E43" s="484">
        <f t="shared" si="6"/>
        <v>65035.603076923078</v>
      </c>
      <c r="F43" s="485">
        <f t="shared" si="7"/>
        <v>840605.90274299169</v>
      </c>
      <c r="G43" s="486">
        <f t="shared" si="8"/>
        <v>169250.73221353206</v>
      </c>
      <c r="H43" s="455">
        <f t="shared" si="9"/>
        <v>169250.73221353206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 ht="12.5">
      <c r="B44" s="160" t="str">
        <f t="shared" si="5"/>
        <v/>
      </c>
      <c r="C44" s="472">
        <f>IF(D11="","-",+C43+1)</f>
        <v>2047</v>
      </c>
      <c r="D44" s="483">
        <f>IF(F43+SUM(E$17:E43)=D$10,F43,D$10-SUM(E$17:E43))</f>
        <v>840605.90274299169</v>
      </c>
      <c r="E44" s="484">
        <f t="shared" si="6"/>
        <v>65035.603076923078</v>
      </c>
      <c r="F44" s="485">
        <f t="shared" si="7"/>
        <v>775570.29966606863</v>
      </c>
      <c r="G44" s="486">
        <f t="shared" si="8"/>
        <v>161488.15087493861</v>
      </c>
      <c r="H44" s="455">
        <f t="shared" si="9"/>
        <v>161488.15087493861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 ht="12.5">
      <c r="B45" s="160" t="str">
        <f t="shared" si="5"/>
        <v/>
      </c>
      <c r="C45" s="472">
        <f>IF(D11="","-",+C44+1)</f>
        <v>2048</v>
      </c>
      <c r="D45" s="483">
        <f>IF(F44+SUM(E$17:E44)=D$10,F44,D$10-SUM(E$17:E44))</f>
        <v>775570.29966606863</v>
      </c>
      <c r="E45" s="484">
        <f t="shared" si="6"/>
        <v>65035.603076923078</v>
      </c>
      <c r="F45" s="485">
        <f t="shared" si="7"/>
        <v>710534.69658914558</v>
      </c>
      <c r="G45" s="486">
        <f t="shared" si="8"/>
        <v>153725.5695363452</v>
      </c>
      <c r="H45" s="455">
        <f t="shared" si="9"/>
        <v>153725.5695363452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 ht="12.5">
      <c r="B46" s="160" t="str">
        <f t="shared" si="5"/>
        <v/>
      </c>
      <c r="C46" s="472">
        <f>IF(D11="","-",+C45+1)</f>
        <v>2049</v>
      </c>
      <c r="D46" s="483">
        <f>IF(F45+SUM(E$17:E45)=D$10,F45,D$10-SUM(E$17:E45))</f>
        <v>710534.69658914558</v>
      </c>
      <c r="E46" s="484">
        <f t="shared" si="6"/>
        <v>65035.603076923078</v>
      </c>
      <c r="F46" s="485">
        <f t="shared" si="7"/>
        <v>645499.09351222252</v>
      </c>
      <c r="G46" s="486">
        <f t="shared" si="8"/>
        <v>145962.98819775175</v>
      </c>
      <c r="H46" s="455">
        <f t="shared" si="9"/>
        <v>145962.98819775175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 ht="12.5">
      <c r="B47" s="160" t="str">
        <f t="shared" si="5"/>
        <v/>
      </c>
      <c r="C47" s="472">
        <f>IF(D11="","-",+C46+1)</f>
        <v>2050</v>
      </c>
      <c r="D47" s="483">
        <f>IF(F46+SUM(E$17:E46)=D$10,F46,D$10-SUM(E$17:E46))</f>
        <v>645499.09351222252</v>
      </c>
      <c r="E47" s="484">
        <f t="shared" si="6"/>
        <v>65035.603076923078</v>
      </c>
      <c r="F47" s="485">
        <f t="shared" si="7"/>
        <v>580463.49043529946</v>
      </c>
      <c r="G47" s="486">
        <f t="shared" si="8"/>
        <v>138200.40685915833</v>
      </c>
      <c r="H47" s="455">
        <f t="shared" si="9"/>
        <v>138200.40685915833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 ht="12.5">
      <c r="B48" s="160" t="str">
        <f t="shared" si="5"/>
        <v/>
      </c>
      <c r="C48" s="472">
        <f>IF(D11="","-",+C47+1)</f>
        <v>2051</v>
      </c>
      <c r="D48" s="483">
        <f>IF(F47+SUM(E$17:E47)=D$10,F47,D$10-SUM(E$17:E47))</f>
        <v>580463.49043529946</v>
      </c>
      <c r="E48" s="484">
        <f t="shared" si="6"/>
        <v>65035.603076923078</v>
      </c>
      <c r="F48" s="485">
        <f t="shared" si="7"/>
        <v>515427.88735837641</v>
      </c>
      <c r="G48" s="486">
        <f t="shared" si="8"/>
        <v>130437.82552056489</v>
      </c>
      <c r="H48" s="455">
        <f t="shared" si="9"/>
        <v>130437.82552056489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 ht="12.5">
      <c r="B49" s="160" t="str">
        <f t="shared" si="5"/>
        <v/>
      </c>
      <c r="C49" s="472">
        <f>IF(D11="","-",+C48+1)</f>
        <v>2052</v>
      </c>
      <c r="D49" s="483">
        <f>IF(F48+SUM(E$17:E48)=D$10,F48,D$10-SUM(E$17:E48))</f>
        <v>515427.88735837641</v>
      </c>
      <c r="E49" s="484">
        <f t="shared" si="6"/>
        <v>65035.603076923078</v>
      </c>
      <c r="F49" s="485">
        <f t="shared" si="7"/>
        <v>450392.28428145335</v>
      </c>
      <c r="G49" s="486">
        <f t="shared" si="8"/>
        <v>122675.24418197144</v>
      </c>
      <c r="H49" s="455">
        <f t="shared" si="9"/>
        <v>122675.24418197144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 ht="12.5">
      <c r="B50" s="160" t="str">
        <f t="shared" si="5"/>
        <v/>
      </c>
      <c r="C50" s="472">
        <f>IF(D11="","-",+C49+1)</f>
        <v>2053</v>
      </c>
      <c r="D50" s="483">
        <f>IF(F49+SUM(E$17:E49)=D$10,F49,D$10-SUM(E$17:E49))</f>
        <v>450392.28428145335</v>
      </c>
      <c r="E50" s="484">
        <f t="shared" si="6"/>
        <v>65035.603076923078</v>
      </c>
      <c r="F50" s="485">
        <f t="shared" si="7"/>
        <v>385356.68120453029</v>
      </c>
      <c r="G50" s="486">
        <f t="shared" si="8"/>
        <v>114912.66284337803</v>
      </c>
      <c r="H50" s="455">
        <f t="shared" si="9"/>
        <v>114912.66284337803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 ht="12.5">
      <c r="B51" s="160" t="str">
        <f t="shared" si="5"/>
        <v/>
      </c>
      <c r="C51" s="472">
        <f>IF(D11="","-",+C50+1)</f>
        <v>2054</v>
      </c>
      <c r="D51" s="483">
        <f>IF(F50+SUM(E$17:E50)=D$10,F50,D$10-SUM(E$17:E50))</f>
        <v>385356.68120453029</v>
      </c>
      <c r="E51" s="484">
        <f t="shared" si="6"/>
        <v>65035.603076923078</v>
      </c>
      <c r="F51" s="485">
        <f t="shared" si="7"/>
        <v>320321.07812760724</v>
      </c>
      <c r="G51" s="486">
        <f t="shared" si="8"/>
        <v>107150.08150478458</v>
      </c>
      <c r="H51" s="455">
        <f t="shared" si="9"/>
        <v>107150.08150478458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 ht="12.5">
      <c r="B52" s="160" t="str">
        <f t="shared" si="5"/>
        <v/>
      </c>
      <c r="C52" s="472">
        <f>IF(D11="","-",+C51+1)</f>
        <v>2055</v>
      </c>
      <c r="D52" s="483">
        <f>IF(F51+SUM(E$17:E51)=D$10,F51,D$10-SUM(E$17:E51))</f>
        <v>320321.07812760724</v>
      </c>
      <c r="E52" s="484">
        <f t="shared" si="6"/>
        <v>65035.603076923078</v>
      </c>
      <c r="F52" s="485">
        <f t="shared" si="7"/>
        <v>255285.47505068415</v>
      </c>
      <c r="G52" s="486">
        <f t="shared" si="8"/>
        <v>99387.500166191152</v>
      </c>
      <c r="H52" s="455">
        <f t="shared" si="9"/>
        <v>99387.500166191152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 ht="12.5">
      <c r="B53" s="160" t="str">
        <f t="shared" si="5"/>
        <v/>
      </c>
      <c r="C53" s="472">
        <f>IF(D11="","-",+C52+1)</f>
        <v>2056</v>
      </c>
      <c r="D53" s="483">
        <f>IF(F52+SUM(E$17:E52)=D$10,F52,D$10-SUM(E$17:E52))</f>
        <v>255285.47505068415</v>
      </c>
      <c r="E53" s="484">
        <f t="shared" si="6"/>
        <v>65035.603076923078</v>
      </c>
      <c r="F53" s="485">
        <f t="shared" si="7"/>
        <v>190249.87197376107</v>
      </c>
      <c r="G53" s="486">
        <f t="shared" si="8"/>
        <v>91624.918827597707</v>
      </c>
      <c r="H53" s="455">
        <f t="shared" si="9"/>
        <v>91624.918827597707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 ht="12.5">
      <c r="B54" s="160" t="str">
        <f t="shared" si="5"/>
        <v/>
      </c>
      <c r="C54" s="472">
        <f>IF(D11="","-",+C53+1)</f>
        <v>2057</v>
      </c>
      <c r="D54" s="483">
        <f>IF(F53+SUM(E$17:E53)=D$10,F53,D$10-SUM(E$17:E53))</f>
        <v>190249.87197376107</v>
      </c>
      <c r="E54" s="484">
        <f t="shared" si="6"/>
        <v>65035.603076923078</v>
      </c>
      <c r="F54" s="485">
        <f t="shared" si="7"/>
        <v>125214.26889683798</v>
      </c>
      <c r="G54" s="486">
        <f t="shared" si="8"/>
        <v>83862.337489004276</v>
      </c>
      <c r="H54" s="455">
        <f t="shared" si="9"/>
        <v>83862.337489004276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 ht="12.5">
      <c r="B55" s="160" t="str">
        <f t="shared" si="5"/>
        <v/>
      </c>
      <c r="C55" s="472">
        <f>IF(D11="","-",+C54+1)</f>
        <v>2058</v>
      </c>
      <c r="D55" s="483">
        <f>IF(F54+SUM(E$17:E54)=D$10,F54,D$10-SUM(E$17:E54))</f>
        <v>125214.26889683798</v>
      </c>
      <c r="E55" s="484">
        <f t="shared" si="6"/>
        <v>65035.603076923078</v>
      </c>
      <c r="F55" s="485">
        <f t="shared" si="7"/>
        <v>60178.665819914902</v>
      </c>
      <c r="G55" s="486">
        <f t="shared" si="8"/>
        <v>76099.756150410831</v>
      </c>
      <c r="H55" s="455">
        <f t="shared" si="9"/>
        <v>76099.756150410831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 ht="12.5">
      <c r="B56" s="160" t="str">
        <f t="shared" si="5"/>
        <v/>
      </c>
      <c r="C56" s="472">
        <f>IF(D11="","-",+C55+1)</f>
        <v>2059</v>
      </c>
      <c r="D56" s="483">
        <f>IF(F55+SUM(E$17:E55)=D$10,F55,D$10-SUM(E$17:E55))</f>
        <v>60178.665819914902</v>
      </c>
      <c r="E56" s="484">
        <f t="shared" si="6"/>
        <v>60178.665819914902</v>
      </c>
      <c r="F56" s="485">
        <f t="shared" si="7"/>
        <v>0</v>
      </c>
      <c r="G56" s="486">
        <f t="shared" si="8"/>
        <v>63770.097022010421</v>
      </c>
      <c r="H56" s="455">
        <f t="shared" si="9"/>
        <v>63770.097022010421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 ht="12.5">
      <c r="B57" s="160" t="str">
        <f t="shared" si="5"/>
        <v/>
      </c>
      <c r="C57" s="472">
        <f>IF(D11="","-",+C56+1)</f>
        <v>2060</v>
      </c>
      <c r="D57" s="483">
        <f>IF(F56+SUM(E$17:E56)=D$10,F56,D$10-SUM(E$17:E56))</f>
        <v>0</v>
      </c>
      <c r="E57" s="484">
        <f t="shared" si="6"/>
        <v>0</v>
      </c>
      <c r="F57" s="485">
        <f t="shared" si="7"/>
        <v>0</v>
      </c>
      <c r="G57" s="486">
        <f t="shared" si="8"/>
        <v>0</v>
      </c>
      <c r="H57" s="455">
        <f t="shared" si="9"/>
        <v>0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 ht="12.5">
      <c r="B58" s="160" t="str">
        <f t="shared" si="5"/>
        <v/>
      </c>
      <c r="C58" s="472">
        <f>IF(D11="","-",+C57+1)</f>
        <v>2061</v>
      </c>
      <c r="D58" s="483">
        <f>IF(F57+SUM(E$17:E57)=D$10,F57,D$10-SUM(E$17:E57))</f>
        <v>0</v>
      </c>
      <c r="E58" s="484">
        <f t="shared" si="6"/>
        <v>0</v>
      </c>
      <c r="F58" s="485">
        <f t="shared" si="7"/>
        <v>0</v>
      </c>
      <c r="G58" s="486">
        <f t="shared" si="8"/>
        <v>0</v>
      </c>
      <c r="H58" s="455">
        <f t="shared" si="9"/>
        <v>0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 ht="12.5">
      <c r="B59" s="160" t="str">
        <f t="shared" si="5"/>
        <v/>
      </c>
      <c r="C59" s="472">
        <f>IF(D11="","-",+C58+1)</f>
        <v>2062</v>
      </c>
      <c r="D59" s="483">
        <f>IF(F58+SUM(E$17:E58)=D$10,F58,D$10-SUM(E$17:E58))</f>
        <v>0</v>
      </c>
      <c r="E59" s="484">
        <f t="shared" si="6"/>
        <v>0</v>
      </c>
      <c r="F59" s="485">
        <f t="shared" si="7"/>
        <v>0</v>
      </c>
      <c r="G59" s="486">
        <f t="shared" si="8"/>
        <v>0</v>
      </c>
      <c r="H59" s="455">
        <f t="shared" si="9"/>
        <v>0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 ht="12.5">
      <c r="B60" s="160" t="str">
        <f t="shared" si="5"/>
        <v/>
      </c>
      <c r="C60" s="472">
        <f>IF(D11="","-",+C59+1)</f>
        <v>2063</v>
      </c>
      <c r="D60" s="483">
        <f>IF(F59+SUM(E$17:E59)=D$10,F59,D$10-SUM(E$17:E59))</f>
        <v>0</v>
      </c>
      <c r="E60" s="484">
        <f t="shared" si="6"/>
        <v>0</v>
      </c>
      <c r="F60" s="485">
        <f t="shared" si="7"/>
        <v>0</v>
      </c>
      <c r="G60" s="486">
        <f t="shared" si="8"/>
        <v>0</v>
      </c>
      <c r="H60" s="455">
        <f t="shared" si="9"/>
        <v>0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 ht="12.5">
      <c r="B61" s="160" t="str">
        <f t="shared" si="5"/>
        <v/>
      </c>
      <c r="C61" s="472">
        <f>IF(D11="","-",+C60+1)</f>
        <v>2064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 ht="12.5">
      <c r="B62" s="160" t="str">
        <f t="shared" si="5"/>
        <v/>
      </c>
      <c r="C62" s="472">
        <f>IF(D11="","-",+C61+1)</f>
        <v>2065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 ht="12.5">
      <c r="B63" s="160" t="str">
        <f t="shared" si="5"/>
        <v/>
      </c>
      <c r="C63" s="472">
        <f>IF(D11="","-",+C62+1)</f>
        <v>2066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 ht="12.5">
      <c r="B64" s="160" t="str">
        <f t="shared" si="5"/>
        <v/>
      </c>
      <c r="C64" s="472">
        <f>IF(D11="","-",+C63+1)</f>
        <v>2067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 ht="12.5">
      <c r="B65" s="160" t="str">
        <f t="shared" si="5"/>
        <v/>
      </c>
      <c r="C65" s="472">
        <f>IF(D11="","-",+C64+1)</f>
        <v>2068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 ht="12.5">
      <c r="B66" s="160" t="str">
        <f t="shared" si="5"/>
        <v/>
      </c>
      <c r="C66" s="472">
        <f>IF(D11="","-",+C65+1)</f>
        <v>2069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 ht="12.5">
      <c r="B67" s="160" t="str">
        <f t="shared" si="5"/>
        <v/>
      </c>
      <c r="C67" s="472">
        <f>IF(D11="","-",+C66+1)</f>
        <v>2070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 ht="12.5">
      <c r="B68" s="160" t="str">
        <f t="shared" si="5"/>
        <v/>
      </c>
      <c r="C68" s="472">
        <f>IF(D11="","-",+C67+1)</f>
        <v>2071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 ht="12.5">
      <c r="B69" s="160" t="str">
        <f t="shared" si="5"/>
        <v/>
      </c>
      <c r="C69" s="472">
        <f>IF(D11="","-",+C68+1)</f>
        <v>2072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 ht="12.5">
      <c r="B70" s="160" t="str">
        <f t="shared" si="5"/>
        <v/>
      </c>
      <c r="C70" s="472">
        <f>IF(D11="","-",+C69+1)</f>
        <v>2073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 ht="12.5">
      <c r="B71" s="160" t="str">
        <f t="shared" si="5"/>
        <v/>
      </c>
      <c r="C71" s="472">
        <f>IF(D11="","-",+C70+1)</f>
        <v>2074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5"/>
        <v/>
      </c>
      <c r="C72" s="489">
        <f>IF(D11="","-",+C71+1)</f>
        <v>2075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 ht="12.5">
      <c r="C73" s="346" t="s">
        <v>77</v>
      </c>
      <c r="D73" s="347"/>
      <c r="E73" s="347">
        <f>SUM(E17:E72)</f>
        <v>2536388.52</v>
      </c>
      <c r="F73" s="347"/>
      <c r="G73" s="347">
        <f>SUM(G17:G72)</f>
        <v>8428286.2269402053</v>
      </c>
      <c r="H73" s="347">
        <f>SUM(H17:H72)</f>
        <v>8428286.2269402053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28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302407.38707255269</v>
      </c>
      <c r="N87" s="508">
        <f>IF(J92&lt;D11,0,VLOOKUP(J92,C17:O72,11))</f>
        <v>302407.38707255269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347061.69446301</v>
      </c>
      <c r="N88" s="512">
        <f>IF(J92&lt;D11,0,VLOOKUP(J92,C99:P154,7))</f>
        <v>347061.69446301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Keystone Dam - Wekiwa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44654.30739045731</v>
      </c>
      <c r="N89" s="517">
        <f>+N88-N87</f>
        <v>44654.30739045731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TP2015118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2537089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v>2020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61880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2020</v>
      </c>
      <c r="D99" s="584">
        <v>0</v>
      </c>
      <c r="E99" s="608">
        <v>0</v>
      </c>
      <c r="F99" s="584">
        <v>2529408</v>
      </c>
      <c r="G99" s="608">
        <v>1264704</v>
      </c>
      <c r="H99" s="587">
        <v>145816.89418304947</v>
      </c>
      <c r="I99" s="607">
        <v>145816.89418304947</v>
      </c>
      <c r="J99" s="478">
        <f>+I99-H99</f>
        <v>0</v>
      </c>
      <c r="K99" s="478"/>
      <c r="L99" s="477">
        <f>+H99</f>
        <v>145816.89418304947</v>
      </c>
      <c r="M99" s="477">
        <f t="shared" ref="M99" si="11">IF(L99&lt;&gt;0,+H99-L99,0)</f>
        <v>0</v>
      </c>
      <c r="N99" s="477">
        <f>+I99</f>
        <v>145816.89418304947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 ht="12.5">
      <c r="B100" s="160" t="str">
        <f>IF(D100=F99,"","IU")</f>
        <v>IU</v>
      </c>
      <c r="C100" s="472">
        <f>IF(D93="","-",+C99+1)</f>
        <v>2021</v>
      </c>
      <c r="D100" s="346">
        <f>IF(F99+SUM(E$99:E99)=D$92,F99,D$92-SUM(E$99:E99))</f>
        <v>2537089</v>
      </c>
      <c r="E100" s="484">
        <f>IF(+J$96&lt;F99,J$96,D100)</f>
        <v>61880</v>
      </c>
      <c r="F100" s="485">
        <f>+D100-E100</f>
        <v>2475209</v>
      </c>
      <c r="G100" s="485">
        <f>+(F100+D100)/2</f>
        <v>2506149</v>
      </c>
      <c r="H100" s="613">
        <f t="shared" ref="H100:H154" si="14">+J$94*G100+E100</f>
        <v>347061.69446301</v>
      </c>
      <c r="I100" s="614">
        <f t="shared" ref="I100:I154" si="15">+J$95*G100+E100</f>
        <v>347061.69446301</v>
      </c>
      <c r="J100" s="478">
        <f t="shared" ref="J100:J130" si="16">+I100-H100</f>
        <v>0</v>
      </c>
      <c r="K100" s="478"/>
      <c r="L100" s="487"/>
      <c r="M100" s="478">
        <f t="shared" ref="M100:M130" si="17">IF(L100&lt;&gt;0,+H100-L100,0)</f>
        <v>0</v>
      </c>
      <c r="N100" s="487"/>
      <c r="O100" s="478">
        <f t="shared" si="12"/>
        <v>0</v>
      </c>
      <c r="P100" s="478">
        <f t="shared" si="13"/>
        <v>0</v>
      </c>
    </row>
    <row r="101" spans="1:16" ht="12.5">
      <c r="B101" s="160" t="str">
        <f t="shared" ref="B101:B154" si="18">IF(D101=F100,"","IU")</f>
        <v/>
      </c>
      <c r="C101" s="472">
        <f>IF(D93="","-",+C100+1)</f>
        <v>2022</v>
      </c>
      <c r="D101" s="346">
        <f>IF(F100+SUM(E$99:E100)=D$92,F100,D$92-SUM(E$99:E100))</f>
        <v>2475209</v>
      </c>
      <c r="E101" s="484">
        <f t="shared" ref="E101:E154" si="19">IF(+J$96&lt;F100,J$96,D101)</f>
        <v>61880</v>
      </c>
      <c r="F101" s="485">
        <f t="shared" ref="F101:F154" si="20">+D101-E101</f>
        <v>2413329</v>
      </c>
      <c r="G101" s="485">
        <f t="shared" ref="G101:G154" si="21">+(F101+D101)/2</f>
        <v>2444269</v>
      </c>
      <c r="H101" s="613">
        <f t="shared" si="14"/>
        <v>340020.196430223</v>
      </c>
      <c r="I101" s="614">
        <f t="shared" si="15"/>
        <v>340020.196430223</v>
      </c>
      <c r="J101" s="478">
        <f t="shared" si="16"/>
        <v>0</v>
      </c>
      <c r="K101" s="478"/>
      <c r="L101" s="487"/>
      <c r="M101" s="478">
        <f t="shared" si="17"/>
        <v>0</v>
      </c>
      <c r="N101" s="487"/>
      <c r="O101" s="478">
        <f t="shared" si="12"/>
        <v>0</v>
      </c>
      <c r="P101" s="478">
        <f t="shared" si="13"/>
        <v>0</v>
      </c>
    </row>
    <row r="102" spans="1:16" ht="12.5">
      <c r="B102" s="160" t="str">
        <f t="shared" si="18"/>
        <v/>
      </c>
      <c r="C102" s="472">
        <f>IF(D93="","-",+C101+1)</f>
        <v>2023</v>
      </c>
      <c r="D102" s="346">
        <f>IF(F101+SUM(E$99:E101)=D$92,F101,D$92-SUM(E$99:E101))</f>
        <v>2413329</v>
      </c>
      <c r="E102" s="484">
        <f t="shared" si="19"/>
        <v>61880</v>
      </c>
      <c r="F102" s="485">
        <f t="shared" si="20"/>
        <v>2351449</v>
      </c>
      <c r="G102" s="485">
        <f t="shared" si="21"/>
        <v>2382389</v>
      </c>
      <c r="H102" s="613">
        <f t="shared" si="14"/>
        <v>332978.698397436</v>
      </c>
      <c r="I102" s="614">
        <f t="shared" si="15"/>
        <v>332978.698397436</v>
      </c>
      <c r="J102" s="478">
        <f t="shared" si="16"/>
        <v>0</v>
      </c>
      <c r="K102" s="478"/>
      <c r="L102" s="487"/>
      <c r="M102" s="478">
        <f t="shared" si="17"/>
        <v>0</v>
      </c>
      <c r="N102" s="487"/>
      <c r="O102" s="478">
        <f t="shared" si="12"/>
        <v>0</v>
      </c>
      <c r="P102" s="478">
        <f t="shared" si="13"/>
        <v>0</v>
      </c>
    </row>
    <row r="103" spans="1:16" ht="12.5">
      <c r="B103" s="160" t="str">
        <f t="shared" si="18"/>
        <v/>
      </c>
      <c r="C103" s="472">
        <f>IF(D93="","-",+C102+1)</f>
        <v>2024</v>
      </c>
      <c r="D103" s="346">
        <f>IF(F102+SUM(E$99:E102)=D$92,F102,D$92-SUM(E$99:E102))</f>
        <v>2351449</v>
      </c>
      <c r="E103" s="484">
        <f t="shared" si="19"/>
        <v>61880</v>
      </c>
      <c r="F103" s="485">
        <f t="shared" si="20"/>
        <v>2289569</v>
      </c>
      <c r="G103" s="485">
        <f t="shared" si="21"/>
        <v>2320509</v>
      </c>
      <c r="H103" s="613">
        <f t="shared" si="14"/>
        <v>325937.20036464906</v>
      </c>
      <c r="I103" s="614">
        <f t="shared" si="15"/>
        <v>325937.20036464906</v>
      </c>
      <c r="J103" s="478">
        <f t="shared" si="16"/>
        <v>0</v>
      </c>
      <c r="K103" s="478"/>
      <c r="L103" s="487"/>
      <c r="M103" s="478">
        <f t="shared" si="17"/>
        <v>0</v>
      </c>
      <c r="N103" s="487"/>
      <c r="O103" s="478">
        <f t="shared" si="12"/>
        <v>0</v>
      </c>
      <c r="P103" s="478">
        <f t="shared" si="13"/>
        <v>0</v>
      </c>
    </row>
    <row r="104" spans="1:16" ht="12.5">
      <c r="B104" s="160" t="str">
        <f t="shared" si="18"/>
        <v/>
      </c>
      <c r="C104" s="472">
        <f>IF(D93="","-",+C103+1)</f>
        <v>2025</v>
      </c>
      <c r="D104" s="346">
        <f>IF(F103+SUM(E$99:E103)=D$92,F103,D$92-SUM(E$99:E103))</f>
        <v>2289569</v>
      </c>
      <c r="E104" s="484">
        <f t="shared" si="19"/>
        <v>61880</v>
      </c>
      <c r="F104" s="485">
        <f t="shared" si="20"/>
        <v>2227689</v>
      </c>
      <c r="G104" s="485">
        <f t="shared" si="21"/>
        <v>2258629</v>
      </c>
      <c r="H104" s="613">
        <f t="shared" si="14"/>
        <v>318895.70233186206</v>
      </c>
      <c r="I104" s="614">
        <f t="shared" si="15"/>
        <v>318895.70233186206</v>
      </c>
      <c r="J104" s="478">
        <f t="shared" si="16"/>
        <v>0</v>
      </c>
      <c r="K104" s="478"/>
      <c r="L104" s="487"/>
      <c r="M104" s="478">
        <f t="shared" si="17"/>
        <v>0</v>
      </c>
      <c r="N104" s="487"/>
      <c r="O104" s="478">
        <f t="shared" si="12"/>
        <v>0</v>
      </c>
      <c r="P104" s="478">
        <f t="shared" si="13"/>
        <v>0</v>
      </c>
    </row>
    <row r="105" spans="1:16" ht="12.5">
      <c r="B105" s="160" t="str">
        <f t="shared" si="18"/>
        <v/>
      </c>
      <c r="C105" s="472">
        <f>IF(D93="","-",+C104+1)</f>
        <v>2026</v>
      </c>
      <c r="D105" s="346">
        <f>IF(F104+SUM(E$99:E104)=D$92,F104,D$92-SUM(E$99:E104))</f>
        <v>2227689</v>
      </c>
      <c r="E105" s="484">
        <f t="shared" si="19"/>
        <v>61880</v>
      </c>
      <c r="F105" s="485">
        <f t="shared" si="20"/>
        <v>2165809</v>
      </c>
      <c r="G105" s="485">
        <f t="shared" si="21"/>
        <v>2196749</v>
      </c>
      <c r="H105" s="613">
        <f t="shared" si="14"/>
        <v>311854.20429907506</v>
      </c>
      <c r="I105" s="614">
        <f t="shared" si="15"/>
        <v>311854.20429907506</v>
      </c>
      <c r="J105" s="478">
        <f t="shared" si="16"/>
        <v>0</v>
      </c>
      <c r="K105" s="478"/>
      <c r="L105" s="487"/>
      <c r="M105" s="478">
        <f t="shared" si="17"/>
        <v>0</v>
      </c>
      <c r="N105" s="487"/>
      <c r="O105" s="478">
        <f t="shared" si="12"/>
        <v>0</v>
      </c>
      <c r="P105" s="478">
        <f t="shared" si="13"/>
        <v>0</v>
      </c>
    </row>
    <row r="106" spans="1:16" ht="12.5">
      <c r="B106" s="160" t="str">
        <f t="shared" si="18"/>
        <v/>
      </c>
      <c r="C106" s="472">
        <f>IF(D93="","-",+C105+1)</f>
        <v>2027</v>
      </c>
      <c r="D106" s="346">
        <f>IF(F105+SUM(E$99:E105)=D$92,F105,D$92-SUM(E$99:E105))</f>
        <v>2165809</v>
      </c>
      <c r="E106" s="484">
        <f t="shared" si="19"/>
        <v>61880</v>
      </c>
      <c r="F106" s="485">
        <f t="shared" si="20"/>
        <v>2103929</v>
      </c>
      <c r="G106" s="485">
        <f t="shared" si="21"/>
        <v>2134869</v>
      </c>
      <c r="H106" s="613">
        <f t="shared" si="14"/>
        <v>304812.70626628806</v>
      </c>
      <c r="I106" s="614">
        <f t="shared" si="15"/>
        <v>304812.70626628806</v>
      </c>
      <c r="J106" s="478">
        <f t="shared" si="16"/>
        <v>0</v>
      </c>
      <c r="K106" s="478"/>
      <c r="L106" s="487"/>
      <c r="M106" s="478">
        <f t="shared" si="17"/>
        <v>0</v>
      </c>
      <c r="N106" s="487"/>
      <c r="O106" s="478">
        <f t="shared" si="12"/>
        <v>0</v>
      </c>
      <c r="P106" s="478">
        <f t="shared" si="13"/>
        <v>0</v>
      </c>
    </row>
    <row r="107" spans="1:16" ht="12.5">
      <c r="B107" s="160" t="str">
        <f t="shared" si="18"/>
        <v/>
      </c>
      <c r="C107" s="472">
        <f>IF(D93="","-",+C106+1)</f>
        <v>2028</v>
      </c>
      <c r="D107" s="346">
        <f>IF(F106+SUM(E$99:E106)=D$92,F106,D$92-SUM(E$99:E106))</f>
        <v>2103929</v>
      </c>
      <c r="E107" s="484">
        <f t="shared" si="19"/>
        <v>61880</v>
      </c>
      <c r="F107" s="485">
        <f t="shared" si="20"/>
        <v>2042049</v>
      </c>
      <c r="G107" s="485">
        <f t="shared" si="21"/>
        <v>2072989</v>
      </c>
      <c r="H107" s="613">
        <f t="shared" si="14"/>
        <v>297771.20823350112</v>
      </c>
      <c r="I107" s="614">
        <f t="shared" si="15"/>
        <v>297771.20823350112</v>
      </c>
      <c r="J107" s="478">
        <f t="shared" si="16"/>
        <v>0</v>
      </c>
      <c r="K107" s="478"/>
      <c r="L107" s="487"/>
      <c r="M107" s="478">
        <f t="shared" si="17"/>
        <v>0</v>
      </c>
      <c r="N107" s="487"/>
      <c r="O107" s="478">
        <f t="shared" si="12"/>
        <v>0</v>
      </c>
      <c r="P107" s="478">
        <f t="shared" si="13"/>
        <v>0</v>
      </c>
    </row>
    <row r="108" spans="1:16" ht="12.5">
      <c r="B108" s="160" t="str">
        <f t="shared" si="18"/>
        <v/>
      </c>
      <c r="C108" s="472">
        <f>IF(D93="","-",+C107+1)</f>
        <v>2029</v>
      </c>
      <c r="D108" s="346">
        <f>IF(F107+SUM(E$99:E107)=D$92,F107,D$92-SUM(E$99:E107))</f>
        <v>2042049</v>
      </c>
      <c r="E108" s="484">
        <f t="shared" si="19"/>
        <v>61880</v>
      </c>
      <c r="F108" s="485">
        <f t="shared" si="20"/>
        <v>1980169</v>
      </c>
      <c r="G108" s="485">
        <f t="shared" si="21"/>
        <v>2011109</v>
      </c>
      <c r="H108" s="613">
        <f t="shared" si="14"/>
        <v>290729.71020071418</v>
      </c>
      <c r="I108" s="614">
        <f t="shared" si="15"/>
        <v>290729.71020071418</v>
      </c>
      <c r="J108" s="478">
        <f t="shared" si="16"/>
        <v>0</v>
      </c>
      <c r="K108" s="478"/>
      <c r="L108" s="487"/>
      <c r="M108" s="478">
        <f t="shared" si="17"/>
        <v>0</v>
      </c>
      <c r="N108" s="487"/>
      <c r="O108" s="478">
        <f t="shared" si="12"/>
        <v>0</v>
      </c>
      <c r="P108" s="478">
        <f t="shared" si="13"/>
        <v>0</v>
      </c>
    </row>
    <row r="109" spans="1:16" ht="12.5">
      <c r="B109" s="160" t="str">
        <f t="shared" si="18"/>
        <v/>
      </c>
      <c r="C109" s="472">
        <f>IF(D93="","-",+C108+1)</f>
        <v>2030</v>
      </c>
      <c r="D109" s="346">
        <f>IF(F108+SUM(E$99:E108)=D$92,F108,D$92-SUM(E$99:E108))</f>
        <v>1980169</v>
      </c>
      <c r="E109" s="484">
        <f t="shared" si="19"/>
        <v>61880</v>
      </c>
      <c r="F109" s="485">
        <f t="shared" si="20"/>
        <v>1918289</v>
      </c>
      <c r="G109" s="485">
        <f t="shared" si="21"/>
        <v>1949229</v>
      </c>
      <c r="H109" s="613">
        <f t="shared" si="14"/>
        <v>283688.21216792718</v>
      </c>
      <c r="I109" s="614">
        <f t="shared" si="15"/>
        <v>283688.21216792718</v>
      </c>
      <c r="J109" s="478">
        <f t="shared" si="16"/>
        <v>0</v>
      </c>
      <c r="K109" s="478"/>
      <c r="L109" s="487"/>
      <c r="M109" s="478">
        <f t="shared" si="17"/>
        <v>0</v>
      </c>
      <c r="N109" s="487"/>
      <c r="O109" s="478">
        <f t="shared" si="12"/>
        <v>0</v>
      </c>
      <c r="P109" s="478">
        <f t="shared" si="13"/>
        <v>0</v>
      </c>
    </row>
    <row r="110" spans="1:16" ht="12.5">
      <c r="B110" s="160" t="str">
        <f t="shared" si="18"/>
        <v/>
      </c>
      <c r="C110" s="472">
        <f>IF(D93="","-",+C109+1)</f>
        <v>2031</v>
      </c>
      <c r="D110" s="346">
        <f>IF(F109+SUM(E$99:E109)=D$92,F109,D$92-SUM(E$99:E109))</f>
        <v>1918289</v>
      </c>
      <c r="E110" s="484">
        <f t="shared" si="19"/>
        <v>61880</v>
      </c>
      <c r="F110" s="485">
        <f t="shared" si="20"/>
        <v>1856409</v>
      </c>
      <c r="G110" s="485">
        <f t="shared" si="21"/>
        <v>1887349</v>
      </c>
      <c r="H110" s="613">
        <f t="shared" si="14"/>
        <v>276646.71413514018</v>
      </c>
      <c r="I110" s="614">
        <f t="shared" si="15"/>
        <v>276646.71413514018</v>
      </c>
      <c r="J110" s="478">
        <f t="shared" si="16"/>
        <v>0</v>
      </c>
      <c r="K110" s="478"/>
      <c r="L110" s="487"/>
      <c r="M110" s="478">
        <f t="shared" si="17"/>
        <v>0</v>
      </c>
      <c r="N110" s="487"/>
      <c r="O110" s="478">
        <f t="shared" si="12"/>
        <v>0</v>
      </c>
      <c r="P110" s="478">
        <f t="shared" si="13"/>
        <v>0</v>
      </c>
    </row>
    <row r="111" spans="1:16" ht="12.5">
      <c r="B111" s="160" t="str">
        <f t="shared" si="18"/>
        <v/>
      </c>
      <c r="C111" s="472">
        <f>IF(D93="","-",+C110+1)</f>
        <v>2032</v>
      </c>
      <c r="D111" s="346">
        <f>IF(F110+SUM(E$99:E110)=D$92,F110,D$92-SUM(E$99:E110))</f>
        <v>1856409</v>
      </c>
      <c r="E111" s="484">
        <f t="shared" si="19"/>
        <v>61880</v>
      </c>
      <c r="F111" s="485">
        <f t="shared" si="20"/>
        <v>1794529</v>
      </c>
      <c r="G111" s="485">
        <f t="shared" si="21"/>
        <v>1825469</v>
      </c>
      <c r="H111" s="613">
        <f t="shared" si="14"/>
        <v>269605.21610235318</v>
      </c>
      <c r="I111" s="614">
        <f t="shared" si="15"/>
        <v>269605.21610235318</v>
      </c>
      <c r="J111" s="478">
        <f t="shared" si="16"/>
        <v>0</v>
      </c>
      <c r="K111" s="478"/>
      <c r="L111" s="487"/>
      <c r="M111" s="478">
        <f t="shared" si="17"/>
        <v>0</v>
      </c>
      <c r="N111" s="487"/>
      <c r="O111" s="478">
        <f t="shared" si="12"/>
        <v>0</v>
      </c>
      <c r="P111" s="478">
        <f t="shared" si="13"/>
        <v>0</v>
      </c>
    </row>
    <row r="112" spans="1:16" ht="12.5">
      <c r="B112" s="160" t="str">
        <f t="shared" si="18"/>
        <v/>
      </c>
      <c r="C112" s="472">
        <f>IF(D93="","-",+C111+1)</f>
        <v>2033</v>
      </c>
      <c r="D112" s="346">
        <f>IF(F111+SUM(E$99:E111)=D$92,F111,D$92-SUM(E$99:E111))</f>
        <v>1794529</v>
      </c>
      <c r="E112" s="484">
        <f t="shared" si="19"/>
        <v>61880</v>
      </c>
      <c r="F112" s="485">
        <f t="shared" si="20"/>
        <v>1732649</v>
      </c>
      <c r="G112" s="485">
        <f t="shared" si="21"/>
        <v>1763589</v>
      </c>
      <c r="H112" s="613">
        <f t="shared" si="14"/>
        <v>262563.71806956618</v>
      </c>
      <c r="I112" s="614">
        <f t="shared" si="15"/>
        <v>262563.71806956618</v>
      </c>
      <c r="J112" s="478">
        <f t="shared" si="16"/>
        <v>0</v>
      </c>
      <c r="K112" s="478"/>
      <c r="L112" s="487"/>
      <c r="M112" s="478">
        <f t="shared" si="17"/>
        <v>0</v>
      </c>
      <c r="N112" s="487"/>
      <c r="O112" s="478">
        <f t="shared" si="12"/>
        <v>0</v>
      </c>
      <c r="P112" s="478">
        <f t="shared" si="13"/>
        <v>0</v>
      </c>
    </row>
    <row r="113" spans="2:16" ht="12.5">
      <c r="B113" s="160" t="str">
        <f t="shared" si="18"/>
        <v/>
      </c>
      <c r="C113" s="472">
        <f>IF(D93="","-",+C112+1)</f>
        <v>2034</v>
      </c>
      <c r="D113" s="346">
        <f>IF(F112+SUM(E$99:E112)=D$92,F112,D$92-SUM(E$99:E112))</f>
        <v>1732649</v>
      </c>
      <c r="E113" s="484">
        <f t="shared" si="19"/>
        <v>61880</v>
      </c>
      <c r="F113" s="485">
        <f t="shared" si="20"/>
        <v>1670769</v>
      </c>
      <c r="G113" s="485">
        <f t="shared" si="21"/>
        <v>1701709</v>
      </c>
      <c r="H113" s="613">
        <f t="shared" si="14"/>
        <v>255522.22003677924</v>
      </c>
      <c r="I113" s="614">
        <f t="shared" si="15"/>
        <v>255522.22003677924</v>
      </c>
      <c r="J113" s="478">
        <f t="shared" si="16"/>
        <v>0</v>
      </c>
      <c r="K113" s="478"/>
      <c r="L113" s="487"/>
      <c r="M113" s="478">
        <f t="shared" si="17"/>
        <v>0</v>
      </c>
      <c r="N113" s="487"/>
      <c r="O113" s="478">
        <f t="shared" si="12"/>
        <v>0</v>
      </c>
      <c r="P113" s="478">
        <f t="shared" si="13"/>
        <v>0</v>
      </c>
    </row>
    <row r="114" spans="2:16" ht="12.5">
      <c r="B114" s="160" t="str">
        <f t="shared" si="18"/>
        <v/>
      </c>
      <c r="C114" s="472">
        <f>IF(D93="","-",+C113+1)</f>
        <v>2035</v>
      </c>
      <c r="D114" s="346">
        <f>IF(F113+SUM(E$99:E113)=D$92,F113,D$92-SUM(E$99:E113))</f>
        <v>1670769</v>
      </c>
      <c r="E114" s="484">
        <f t="shared" si="19"/>
        <v>61880</v>
      </c>
      <c r="F114" s="485">
        <f t="shared" si="20"/>
        <v>1608889</v>
      </c>
      <c r="G114" s="485">
        <f t="shared" si="21"/>
        <v>1639829</v>
      </c>
      <c r="H114" s="613">
        <f t="shared" si="14"/>
        <v>248480.72200399227</v>
      </c>
      <c r="I114" s="614">
        <f t="shared" si="15"/>
        <v>248480.72200399227</v>
      </c>
      <c r="J114" s="478">
        <f t="shared" si="16"/>
        <v>0</v>
      </c>
      <c r="K114" s="478"/>
      <c r="L114" s="487"/>
      <c r="M114" s="478">
        <f t="shared" si="17"/>
        <v>0</v>
      </c>
      <c r="N114" s="487"/>
      <c r="O114" s="478">
        <f t="shared" si="12"/>
        <v>0</v>
      </c>
      <c r="P114" s="478">
        <f t="shared" si="13"/>
        <v>0</v>
      </c>
    </row>
    <row r="115" spans="2:16" ht="12.5">
      <c r="B115" s="160" t="str">
        <f t="shared" si="18"/>
        <v/>
      </c>
      <c r="C115" s="472">
        <f>IF(D93="","-",+C114+1)</f>
        <v>2036</v>
      </c>
      <c r="D115" s="346">
        <f>IF(F114+SUM(E$99:E114)=D$92,F114,D$92-SUM(E$99:E114))</f>
        <v>1608889</v>
      </c>
      <c r="E115" s="484">
        <f t="shared" si="19"/>
        <v>61880</v>
      </c>
      <c r="F115" s="485">
        <f t="shared" si="20"/>
        <v>1547009</v>
      </c>
      <c r="G115" s="485">
        <f t="shared" si="21"/>
        <v>1577949</v>
      </c>
      <c r="H115" s="613">
        <f t="shared" si="14"/>
        <v>241439.22397120527</v>
      </c>
      <c r="I115" s="614">
        <f t="shared" si="15"/>
        <v>241439.22397120527</v>
      </c>
      <c r="J115" s="478">
        <f t="shared" si="16"/>
        <v>0</v>
      </c>
      <c r="K115" s="478"/>
      <c r="L115" s="487"/>
      <c r="M115" s="478">
        <f t="shared" si="17"/>
        <v>0</v>
      </c>
      <c r="N115" s="487"/>
      <c r="O115" s="478">
        <f t="shared" si="12"/>
        <v>0</v>
      </c>
      <c r="P115" s="478">
        <f t="shared" si="13"/>
        <v>0</v>
      </c>
    </row>
    <row r="116" spans="2:16" ht="12.5">
      <c r="B116" s="160" t="str">
        <f t="shared" si="18"/>
        <v/>
      </c>
      <c r="C116" s="472">
        <f>IF(D93="","-",+C115+1)</f>
        <v>2037</v>
      </c>
      <c r="D116" s="346">
        <f>IF(F115+SUM(E$99:E115)=D$92,F115,D$92-SUM(E$99:E115))</f>
        <v>1547009</v>
      </c>
      <c r="E116" s="484">
        <f t="shared" si="19"/>
        <v>61880</v>
      </c>
      <c r="F116" s="485">
        <f t="shared" si="20"/>
        <v>1485129</v>
      </c>
      <c r="G116" s="485">
        <f t="shared" si="21"/>
        <v>1516069</v>
      </c>
      <c r="H116" s="613">
        <f t="shared" si="14"/>
        <v>234397.7259384183</v>
      </c>
      <c r="I116" s="614">
        <f t="shared" si="15"/>
        <v>234397.7259384183</v>
      </c>
      <c r="J116" s="478">
        <f t="shared" si="16"/>
        <v>0</v>
      </c>
      <c r="K116" s="478"/>
      <c r="L116" s="487"/>
      <c r="M116" s="478">
        <f t="shared" si="17"/>
        <v>0</v>
      </c>
      <c r="N116" s="487"/>
      <c r="O116" s="478">
        <f t="shared" si="12"/>
        <v>0</v>
      </c>
      <c r="P116" s="478">
        <f t="shared" si="13"/>
        <v>0</v>
      </c>
    </row>
    <row r="117" spans="2:16" ht="12.5">
      <c r="B117" s="160" t="str">
        <f t="shared" si="18"/>
        <v/>
      </c>
      <c r="C117" s="472">
        <f>IF(D93="","-",+C116+1)</f>
        <v>2038</v>
      </c>
      <c r="D117" s="346">
        <f>IF(F116+SUM(E$99:E116)=D$92,F116,D$92-SUM(E$99:E116))</f>
        <v>1485129</v>
      </c>
      <c r="E117" s="484">
        <f t="shared" si="19"/>
        <v>61880</v>
      </c>
      <c r="F117" s="485">
        <f t="shared" si="20"/>
        <v>1423249</v>
      </c>
      <c r="G117" s="485">
        <f t="shared" si="21"/>
        <v>1454189</v>
      </c>
      <c r="H117" s="613">
        <f t="shared" si="14"/>
        <v>227356.22790563133</v>
      </c>
      <c r="I117" s="614">
        <f t="shared" si="15"/>
        <v>227356.22790563133</v>
      </c>
      <c r="J117" s="478">
        <f t="shared" si="16"/>
        <v>0</v>
      </c>
      <c r="K117" s="478"/>
      <c r="L117" s="487"/>
      <c r="M117" s="478">
        <f t="shared" si="17"/>
        <v>0</v>
      </c>
      <c r="N117" s="487"/>
      <c r="O117" s="478">
        <f t="shared" si="12"/>
        <v>0</v>
      </c>
      <c r="P117" s="478">
        <f t="shared" si="13"/>
        <v>0</v>
      </c>
    </row>
    <row r="118" spans="2:16" ht="12.5">
      <c r="B118" s="160" t="str">
        <f t="shared" si="18"/>
        <v/>
      </c>
      <c r="C118" s="472">
        <f>IF(D93="","-",+C117+1)</f>
        <v>2039</v>
      </c>
      <c r="D118" s="346">
        <f>IF(F117+SUM(E$99:E117)=D$92,F117,D$92-SUM(E$99:E117))</f>
        <v>1423249</v>
      </c>
      <c r="E118" s="484">
        <f t="shared" si="19"/>
        <v>61880</v>
      </c>
      <c r="F118" s="485">
        <f t="shared" si="20"/>
        <v>1361369</v>
      </c>
      <c r="G118" s="485">
        <f t="shared" si="21"/>
        <v>1392309</v>
      </c>
      <c r="H118" s="613">
        <f t="shared" si="14"/>
        <v>220314.72987284433</v>
      </c>
      <c r="I118" s="614">
        <f t="shared" si="15"/>
        <v>220314.72987284433</v>
      </c>
      <c r="J118" s="478">
        <f t="shared" si="16"/>
        <v>0</v>
      </c>
      <c r="K118" s="478"/>
      <c r="L118" s="487"/>
      <c r="M118" s="478">
        <f t="shared" si="17"/>
        <v>0</v>
      </c>
      <c r="N118" s="487"/>
      <c r="O118" s="478">
        <f t="shared" si="12"/>
        <v>0</v>
      </c>
      <c r="P118" s="478">
        <f t="shared" si="13"/>
        <v>0</v>
      </c>
    </row>
    <row r="119" spans="2:16" ht="12.5">
      <c r="B119" s="160" t="str">
        <f t="shared" si="18"/>
        <v/>
      </c>
      <c r="C119" s="472">
        <f>IF(D93="","-",+C118+1)</f>
        <v>2040</v>
      </c>
      <c r="D119" s="346">
        <f>IF(F118+SUM(E$99:E118)=D$92,F118,D$92-SUM(E$99:E118))</f>
        <v>1361369</v>
      </c>
      <c r="E119" s="484">
        <f t="shared" si="19"/>
        <v>61880</v>
      </c>
      <c r="F119" s="485">
        <f t="shared" si="20"/>
        <v>1299489</v>
      </c>
      <c r="G119" s="485">
        <f t="shared" si="21"/>
        <v>1330429</v>
      </c>
      <c r="H119" s="613">
        <f t="shared" si="14"/>
        <v>213273.23184005736</v>
      </c>
      <c r="I119" s="614">
        <f t="shared" si="15"/>
        <v>213273.23184005736</v>
      </c>
      <c r="J119" s="478">
        <f t="shared" si="16"/>
        <v>0</v>
      </c>
      <c r="K119" s="478"/>
      <c r="L119" s="487"/>
      <c r="M119" s="478">
        <f t="shared" si="17"/>
        <v>0</v>
      </c>
      <c r="N119" s="487"/>
      <c r="O119" s="478">
        <f t="shared" si="12"/>
        <v>0</v>
      </c>
      <c r="P119" s="478">
        <f t="shared" si="13"/>
        <v>0</v>
      </c>
    </row>
    <row r="120" spans="2:16" ht="12.5">
      <c r="B120" s="160" t="str">
        <f t="shared" si="18"/>
        <v/>
      </c>
      <c r="C120" s="472">
        <f>IF(D93="","-",+C119+1)</f>
        <v>2041</v>
      </c>
      <c r="D120" s="346">
        <f>IF(F119+SUM(E$99:E119)=D$92,F119,D$92-SUM(E$99:E119))</f>
        <v>1299489</v>
      </c>
      <c r="E120" s="484">
        <f t="shared" si="19"/>
        <v>61880</v>
      </c>
      <c r="F120" s="485">
        <f t="shared" si="20"/>
        <v>1237609</v>
      </c>
      <c r="G120" s="485">
        <f t="shared" si="21"/>
        <v>1268549</v>
      </c>
      <c r="H120" s="613">
        <f t="shared" si="14"/>
        <v>206231.73380727039</v>
      </c>
      <c r="I120" s="614">
        <f t="shared" si="15"/>
        <v>206231.73380727039</v>
      </c>
      <c r="J120" s="478">
        <f t="shared" si="16"/>
        <v>0</v>
      </c>
      <c r="K120" s="478"/>
      <c r="L120" s="487"/>
      <c r="M120" s="478">
        <f t="shared" si="17"/>
        <v>0</v>
      </c>
      <c r="N120" s="487"/>
      <c r="O120" s="478">
        <f t="shared" si="12"/>
        <v>0</v>
      </c>
      <c r="P120" s="478">
        <f t="shared" si="13"/>
        <v>0</v>
      </c>
    </row>
    <row r="121" spans="2:16" ht="12.5">
      <c r="B121" s="160" t="str">
        <f t="shared" si="18"/>
        <v/>
      </c>
      <c r="C121" s="472">
        <f>IF(D93="","-",+C120+1)</f>
        <v>2042</v>
      </c>
      <c r="D121" s="346">
        <f>IF(F120+SUM(E$99:E120)=D$92,F120,D$92-SUM(E$99:E120))</f>
        <v>1237609</v>
      </c>
      <c r="E121" s="484">
        <f t="shared" si="19"/>
        <v>61880</v>
      </c>
      <c r="F121" s="485">
        <f t="shared" si="20"/>
        <v>1175729</v>
      </c>
      <c r="G121" s="485">
        <f t="shared" si="21"/>
        <v>1206669</v>
      </c>
      <c r="H121" s="613">
        <f t="shared" si="14"/>
        <v>199190.23577448339</v>
      </c>
      <c r="I121" s="614">
        <f t="shared" si="15"/>
        <v>199190.23577448339</v>
      </c>
      <c r="J121" s="478">
        <f t="shared" si="16"/>
        <v>0</v>
      </c>
      <c r="K121" s="478"/>
      <c r="L121" s="487"/>
      <c r="M121" s="478">
        <f t="shared" si="17"/>
        <v>0</v>
      </c>
      <c r="N121" s="487"/>
      <c r="O121" s="478">
        <f t="shared" si="12"/>
        <v>0</v>
      </c>
      <c r="P121" s="478">
        <f t="shared" si="13"/>
        <v>0</v>
      </c>
    </row>
    <row r="122" spans="2:16" ht="12.5">
      <c r="B122" s="160" t="str">
        <f t="shared" si="18"/>
        <v/>
      </c>
      <c r="C122" s="472">
        <f>IF(D93="","-",+C121+1)</f>
        <v>2043</v>
      </c>
      <c r="D122" s="346">
        <f>IF(F121+SUM(E$99:E121)=D$92,F121,D$92-SUM(E$99:E121))</f>
        <v>1175729</v>
      </c>
      <c r="E122" s="484">
        <f t="shared" si="19"/>
        <v>61880</v>
      </c>
      <c r="F122" s="485">
        <f t="shared" si="20"/>
        <v>1113849</v>
      </c>
      <c r="G122" s="485">
        <f t="shared" si="21"/>
        <v>1144789</v>
      </c>
      <c r="H122" s="613">
        <f t="shared" si="14"/>
        <v>192148.73774169642</v>
      </c>
      <c r="I122" s="614">
        <f t="shared" si="15"/>
        <v>192148.73774169642</v>
      </c>
      <c r="J122" s="478">
        <f t="shared" si="16"/>
        <v>0</v>
      </c>
      <c r="K122" s="478"/>
      <c r="L122" s="487"/>
      <c r="M122" s="478">
        <f t="shared" si="17"/>
        <v>0</v>
      </c>
      <c r="N122" s="487"/>
      <c r="O122" s="478">
        <f t="shared" si="12"/>
        <v>0</v>
      </c>
      <c r="P122" s="478">
        <f t="shared" si="13"/>
        <v>0</v>
      </c>
    </row>
    <row r="123" spans="2:16" ht="12.5">
      <c r="B123" s="160" t="str">
        <f t="shared" si="18"/>
        <v/>
      </c>
      <c r="C123" s="472">
        <f>IF(D93="","-",+C122+1)</f>
        <v>2044</v>
      </c>
      <c r="D123" s="346">
        <f>IF(F122+SUM(E$99:E122)=D$92,F122,D$92-SUM(E$99:E122))</f>
        <v>1113849</v>
      </c>
      <c r="E123" s="484">
        <f t="shared" si="19"/>
        <v>61880</v>
      </c>
      <c r="F123" s="485">
        <f t="shared" si="20"/>
        <v>1051969</v>
      </c>
      <c r="G123" s="485">
        <f t="shared" si="21"/>
        <v>1082909</v>
      </c>
      <c r="H123" s="613">
        <f t="shared" si="14"/>
        <v>185107.23970890944</v>
      </c>
      <c r="I123" s="614">
        <f t="shared" si="15"/>
        <v>185107.23970890944</v>
      </c>
      <c r="J123" s="478">
        <f t="shared" si="16"/>
        <v>0</v>
      </c>
      <c r="K123" s="478"/>
      <c r="L123" s="487"/>
      <c r="M123" s="478">
        <f t="shared" si="17"/>
        <v>0</v>
      </c>
      <c r="N123" s="487"/>
      <c r="O123" s="478">
        <f t="shared" si="12"/>
        <v>0</v>
      </c>
      <c r="P123" s="478">
        <f t="shared" si="13"/>
        <v>0</v>
      </c>
    </row>
    <row r="124" spans="2:16" ht="12.5">
      <c r="B124" s="160" t="str">
        <f t="shared" si="18"/>
        <v/>
      </c>
      <c r="C124" s="472">
        <f>IF(D93="","-",+C123+1)</f>
        <v>2045</v>
      </c>
      <c r="D124" s="346">
        <f>IF(F123+SUM(E$99:E123)=D$92,F123,D$92-SUM(E$99:E123))</f>
        <v>1051969</v>
      </c>
      <c r="E124" s="484">
        <f t="shared" si="19"/>
        <v>61880</v>
      </c>
      <c r="F124" s="485">
        <f t="shared" si="20"/>
        <v>990089</v>
      </c>
      <c r="G124" s="485">
        <f t="shared" si="21"/>
        <v>1021029</v>
      </c>
      <c r="H124" s="613">
        <f t="shared" si="14"/>
        <v>178065.74167612247</v>
      </c>
      <c r="I124" s="614">
        <f t="shared" si="15"/>
        <v>178065.74167612247</v>
      </c>
      <c r="J124" s="478">
        <f t="shared" si="16"/>
        <v>0</v>
      </c>
      <c r="K124" s="478"/>
      <c r="L124" s="487"/>
      <c r="M124" s="478">
        <f t="shared" si="17"/>
        <v>0</v>
      </c>
      <c r="N124" s="487"/>
      <c r="O124" s="478">
        <f t="shared" si="12"/>
        <v>0</v>
      </c>
      <c r="P124" s="478">
        <f t="shared" si="13"/>
        <v>0</v>
      </c>
    </row>
    <row r="125" spans="2:16" ht="12.5">
      <c r="B125" s="160" t="str">
        <f t="shared" si="18"/>
        <v/>
      </c>
      <c r="C125" s="472">
        <f>IF(D93="","-",+C124+1)</f>
        <v>2046</v>
      </c>
      <c r="D125" s="346">
        <f>IF(F124+SUM(E$99:E124)=D$92,F124,D$92-SUM(E$99:E124))</f>
        <v>990089</v>
      </c>
      <c r="E125" s="484">
        <f t="shared" si="19"/>
        <v>61880</v>
      </c>
      <c r="F125" s="485">
        <f t="shared" si="20"/>
        <v>928209</v>
      </c>
      <c r="G125" s="485">
        <f t="shared" si="21"/>
        <v>959149</v>
      </c>
      <c r="H125" s="613">
        <f t="shared" si="14"/>
        <v>171024.24364333547</v>
      </c>
      <c r="I125" s="614">
        <f t="shared" si="15"/>
        <v>171024.24364333547</v>
      </c>
      <c r="J125" s="478">
        <f t="shared" si="16"/>
        <v>0</v>
      </c>
      <c r="K125" s="478"/>
      <c r="L125" s="487"/>
      <c r="M125" s="478">
        <f t="shared" si="17"/>
        <v>0</v>
      </c>
      <c r="N125" s="487"/>
      <c r="O125" s="478">
        <f t="shared" si="12"/>
        <v>0</v>
      </c>
      <c r="P125" s="478">
        <f t="shared" si="13"/>
        <v>0</v>
      </c>
    </row>
    <row r="126" spans="2:16" ht="12.5">
      <c r="B126" s="160" t="str">
        <f t="shared" si="18"/>
        <v/>
      </c>
      <c r="C126" s="472">
        <f>IF(D93="","-",+C125+1)</f>
        <v>2047</v>
      </c>
      <c r="D126" s="346">
        <f>IF(F125+SUM(E$99:E125)=D$92,F125,D$92-SUM(E$99:E125))</f>
        <v>928209</v>
      </c>
      <c r="E126" s="484">
        <f t="shared" si="19"/>
        <v>61880</v>
      </c>
      <c r="F126" s="485">
        <f t="shared" si="20"/>
        <v>866329</v>
      </c>
      <c r="G126" s="485">
        <f t="shared" si="21"/>
        <v>897269</v>
      </c>
      <c r="H126" s="613">
        <f t="shared" si="14"/>
        <v>163982.7456105485</v>
      </c>
      <c r="I126" s="614">
        <f t="shared" si="15"/>
        <v>163982.7456105485</v>
      </c>
      <c r="J126" s="478">
        <f t="shared" si="16"/>
        <v>0</v>
      </c>
      <c r="K126" s="478"/>
      <c r="L126" s="487"/>
      <c r="M126" s="478">
        <f t="shared" si="17"/>
        <v>0</v>
      </c>
      <c r="N126" s="487"/>
      <c r="O126" s="478">
        <f t="shared" si="12"/>
        <v>0</v>
      </c>
      <c r="P126" s="478">
        <f t="shared" si="13"/>
        <v>0</v>
      </c>
    </row>
    <row r="127" spans="2:16" ht="12.5">
      <c r="B127" s="160" t="str">
        <f t="shared" si="18"/>
        <v/>
      </c>
      <c r="C127" s="472">
        <f>IF(D93="","-",+C126+1)</f>
        <v>2048</v>
      </c>
      <c r="D127" s="346">
        <f>IF(F126+SUM(E$99:E126)=D$92,F126,D$92-SUM(E$99:E126))</f>
        <v>866329</v>
      </c>
      <c r="E127" s="484">
        <f t="shared" si="19"/>
        <v>61880</v>
      </c>
      <c r="F127" s="485">
        <f t="shared" si="20"/>
        <v>804449</v>
      </c>
      <c r="G127" s="485">
        <f t="shared" si="21"/>
        <v>835389</v>
      </c>
      <c r="H127" s="613">
        <f t="shared" si="14"/>
        <v>156941.24757776153</v>
      </c>
      <c r="I127" s="614">
        <f t="shared" si="15"/>
        <v>156941.24757776153</v>
      </c>
      <c r="J127" s="478">
        <f t="shared" si="16"/>
        <v>0</v>
      </c>
      <c r="K127" s="478"/>
      <c r="L127" s="487"/>
      <c r="M127" s="478">
        <f t="shared" si="17"/>
        <v>0</v>
      </c>
      <c r="N127" s="487"/>
      <c r="O127" s="478">
        <f t="shared" si="12"/>
        <v>0</v>
      </c>
      <c r="P127" s="478">
        <f t="shared" si="13"/>
        <v>0</v>
      </c>
    </row>
    <row r="128" spans="2:16" ht="12.5">
      <c r="B128" s="160" t="str">
        <f t="shared" si="18"/>
        <v/>
      </c>
      <c r="C128" s="472">
        <f>IF(D93="","-",+C127+1)</f>
        <v>2049</v>
      </c>
      <c r="D128" s="346">
        <f>IF(F127+SUM(E$99:E127)=D$92,F127,D$92-SUM(E$99:E127))</f>
        <v>804449</v>
      </c>
      <c r="E128" s="484">
        <f t="shared" si="19"/>
        <v>61880</v>
      </c>
      <c r="F128" s="485">
        <f t="shared" si="20"/>
        <v>742569</v>
      </c>
      <c r="G128" s="485">
        <f t="shared" si="21"/>
        <v>773509</v>
      </c>
      <c r="H128" s="613">
        <f t="shared" si="14"/>
        <v>149899.74954497453</v>
      </c>
      <c r="I128" s="614">
        <f t="shared" si="15"/>
        <v>149899.74954497453</v>
      </c>
      <c r="J128" s="478">
        <f t="shared" si="16"/>
        <v>0</v>
      </c>
      <c r="K128" s="478"/>
      <c r="L128" s="487"/>
      <c r="M128" s="478">
        <f t="shared" si="17"/>
        <v>0</v>
      </c>
      <c r="N128" s="487"/>
      <c r="O128" s="478">
        <f t="shared" si="12"/>
        <v>0</v>
      </c>
      <c r="P128" s="478">
        <f t="shared" si="13"/>
        <v>0</v>
      </c>
    </row>
    <row r="129" spans="2:16" ht="12.5">
      <c r="B129" s="160" t="str">
        <f t="shared" si="18"/>
        <v/>
      </c>
      <c r="C129" s="472">
        <f>IF(D93="","-",+C128+1)</f>
        <v>2050</v>
      </c>
      <c r="D129" s="346">
        <f>IF(F128+SUM(E$99:E128)=D$92,F128,D$92-SUM(E$99:E128))</f>
        <v>742569</v>
      </c>
      <c r="E129" s="484">
        <f t="shared" si="19"/>
        <v>61880</v>
      </c>
      <c r="F129" s="485">
        <f t="shared" si="20"/>
        <v>680689</v>
      </c>
      <c r="G129" s="485">
        <f t="shared" si="21"/>
        <v>711629</v>
      </c>
      <c r="H129" s="613">
        <f t="shared" si="14"/>
        <v>142858.25151218756</v>
      </c>
      <c r="I129" s="614">
        <f t="shared" si="15"/>
        <v>142858.25151218756</v>
      </c>
      <c r="J129" s="478">
        <f t="shared" si="16"/>
        <v>0</v>
      </c>
      <c r="K129" s="478"/>
      <c r="L129" s="487"/>
      <c r="M129" s="478">
        <f t="shared" si="17"/>
        <v>0</v>
      </c>
      <c r="N129" s="487"/>
      <c r="O129" s="478">
        <f t="shared" si="12"/>
        <v>0</v>
      </c>
      <c r="P129" s="478">
        <f t="shared" si="13"/>
        <v>0</v>
      </c>
    </row>
    <row r="130" spans="2:16" ht="12.5">
      <c r="B130" s="160" t="str">
        <f t="shared" si="18"/>
        <v/>
      </c>
      <c r="C130" s="472">
        <f>IF(D93="","-",+C129+1)</f>
        <v>2051</v>
      </c>
      <c r="D130" s="346">
        <f>IF(F129+SUM(E$99:E129)=D$92,F129,D$92-SUM(E$99:E129))</f>
        <v>680689</v>
      </c>
      <c r="E130" s="484">
        <f t="shared" si="19"/>
        <v>61880</v>
      </c>
      <c r="F130" s="485">
        <f t="shared" si="20"/>
        <v>618809</v>
      </c>
      <c r="G130" s="485">
        <f t="shared" si="21"/>
        <v>649749</v>
      </c>
      <c r="H130" s="613">
        <f t="shared" si="14"/>
        <v>135816.75347940059</v>
      </c>
      <c r="I130" s="614">
        <f t="shared" si="15"/>
        <v>135816.75347940059</v>
      </c>
      <c r="J130" s="478">
        <f t="shared" si="16"/>
        <v>0</v>
      </c>
      <c r="K130" s="478"/>
      <c r="L130" s="487"/>
      <c r="M130" s="478">
        <f t="shared" si="17"/>
        <v>0</v>
      </c>
      <c r="N130" s="487"/>
      <c r="O130" s="478">
        <f t="shared" si="12"/>
        <v>0</v>
      </c>
      <c r="P130" s="478">
        <f t="shared" si="13"/>
        <v>0</v>
      </c>
    </row>
    <row r="131" spans="2:16" ht="12.5">
      <c r="B131" s="160" t="str">
        <f t="shared" si="18"/>
        <v/>
      </c>
      <c r="C131" s="472">
        <f>IF(D93="","-",+C130+1)</f>
        <v>2052</v>
      </c>
      <c r="D131" s="346">
        <f>IF(F130+SUM(E$99:E130)=D$92,F130,D$92-SUM(E$99:E130))</f>
        <v>618809</v>
      </c>
      <c r="E131" s="484">
        <f t="shared" si="19"/>
        <v>61880</v>
      </c>
      <c r="F131" s="485">
        <f t="shared" si="20"/>
        <v>556929</v>
      </c>
      <c r="G131" s="485">
        <f t="shared" si="21"/>
        <v>587869</v>
      </c>
      <c r="H131" s="613">
        <f t="shared" si="14"/>
        <v>128775.25544661359</v>
      </c>
      <c r="I131" s="614">
        <f t="shared" si="15"/>
        <v>128775.25544661359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 ht="12.5">
      <c r="B132" s="160" t="str">
        <f t="shared" si="18"/>
        <v/>
      </c>
      <c r="C132" s="472">
        <f>IF(D93="","-",+C131+1)</f>
        <v>2053</v>
      </c>
      <c r="D132" s="346">
        <f>IF(F131+SUM(E$99:E131)=D$92,F131,D$92-SUM(E$99:E131))</f>
        <v>556929</v>
      </c>
      <c r="E132" s="484">
        <f t="shared" si="19"/>
        <v>61880</v>
      </c>
      <c r="F132" s="485">
        <f t="shared" si="20"/>
        <v>495049</v>
      </c>
      <c r="G132" s="485">
        <f t="shared" si="21"/>
        <v>525989</v>
      </c>
      <c r="H132" s="613">
        <f t="shared" si="14"/>
        <v>121733.75741382662</v>
      </c>
      <c r="I132" s="614">
        <f t="shared" si="15"/>
        <v>121733.75741382662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 ht="12.5">
      <c r="B133" s="160" t="str">
        <f t="shared" si="18"/>
        <v/>
      </c>
      <c r="C133" s="472">
        <f>IF(D93="","-",+C132+1)</f>
        <v>2054</v>
      </c>
      <c r="D133" s="346">
        <f>IF(F132+SUM(E$99:E132)=D$92,F132,D$92-SUM(E$99:E132))</f>
        <v>495049</v>
      </c>
      <c r="E133" s="484">
        <f t="shared" si="19"/>
        <v>61880</v>
      </c>
      <c r="F133" s="485">
        <f t="shared" si="20"/>
        <v>433169</v>
      </c>
      <c r="G133" s="485">
        <f t="shared" si="21"/>
        <v>464109</v>
      </c>
      <c r="H133" s="613">
        <f t="shared" si="14"/>
        <v>114692.25938103964</v>
      </c>
      <c r="I133" s="614">
        <f t="shared" si="15"/>
        <v>114692.25938103964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 ht="12.5">
      <c r="B134" s="160" t="str">
        <f t="shared" si="18"/>
        <v/>
      </c>
      <c r="C134" s="472">
        <f>IF(D93="","-",+C133+1)</f>
        <v>2055</v>
      </c>
      <c r="D134" s="346">
        <f>IF(F133+SUM(E$99:E133)=D$92,F133,D$92-SUM(E$99:E133))</f>
        <v>433169</v>
      </c>
      <c r="E134" s="484">
        <f t="shared" si="19"/>
        <v>61880</v>
      </c>
      <c r="F134" s="485">
        <f t="shared" si="20"/>
        <v>371289</v>
      </c>
      <c r="G134" s="485">
        <f t="shared" si="21"/>
        <v>402229</v>
      </c>
      <c r="H134" s="613">
        <f t="shared" si="14"/>
        <v>107650.76134825265</v>
      </c>
      <c r="I134" s="614">
        <f t="shared" si="15"/>
        <v>107650.76134825265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 ht="12.5">
      <c r="B135" s="160" t="str">
        <f t="shared" si="18"/>
        <v/>
      </c>
      <c r="C135" s="472">
        <f>IF(D93="","-",+C134+1)</f>
        <v>2056</v>
      </c>
      <c r="D135" s="346">
        <f>IF(F134+SUM(E$99:E134)=D$92,F134,D$92-SUM(E$99:E134))</f>
        <v>371289</v>
      </c>
      <c r="E135" s="484">
        <f t="shared" si="19"/>
        <v>61880</v>
      </c>
      <c r="F135" s="485">
        <f t="shared" si="20"/>
        <v>309409</v>
      </c>
      <c r="G135" s="485">
        <f t="shared" si="21"/>
        <v>340349</v>
      </c>
      <c r="H135" s="613">
        <f t="shared" si="14"/>
        <v>100609.26331546568</v>
      </c>
      <c r="I135" s="614">
        <f t="shared" si="15"/>
        <v>100609.26331546568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 ht="12.5">
      <c r="B136" s="160" t="str">
        <f t="shared" si="18"/>
        <v/>
      </c>
      <c r="C136" s="472">
        <f>IF(D93="","-",+C135+1)</f>
        <v>2057</v>
      </c>
      <c r="D136" s="346">
        <f>IF(F135+SUM(E$99:E135)=D$92,F135,D$92-SUM(E$99:E135))</f>
        <v>309409</v>
      </c>
      <c r="E136" s="484">
        <f t="shared" si="19"/>
        <v>61880</v>
      </c>
      <c r="F136" s="485">
        <f t="shared" si="20"/>
        <v>247529</v>
      </c>
      <c r="G136" s="485">
        <f t="shared" si="21"/>
        <v>278469</v>
      </c>
      <c r="H136" s="613">
        <f t="shared" si="14"/>
        <v>93567.765282678694</v>
      </c>
      <c r="I136" s="614">
        <f t="shared" si="15"/>
        <v>93567.765282678694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 ht="12.5">
      <c r="B137" s="160" t="str">
        <f t="shared" si="18"/>
        <v/>
      </c>
      <c r="C137" s="472">
        <f>IF(D93="","-",+C136+1)</f>
        <v>2058</v>
      </c>
      <c r="D137" s="346">
        <f>IF(F136+SUM(E$99:E136)=D$92,F136,D$92-SUM(E$99:E136))</f>
        <v>247529</v>
      </c>
      <c r="E137" s="484">
        <f t="shared" si="19"/>
        <v>61880</v>
      </c>
      <c r="F137" s="485">
        <f t="shared" si="20"/>
        <v>185649</v>
      </c>
      <c r="G137" s="485">
        <f t="shared" si="21"/>
        <v>216589</v>
      </c>
      <c r="H137" s="613">
        <f t="shared" si="14"/>
        <v>86526.267249891709</v>
      </c>
      <c r="I137" s="614">
        <f t="shared" si="15"/>
        <v>86526.267249891709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 ht="12.5">
      <c r="B138" s="160" t="str">
        <f t="shared" si="18"/>
        <v/>
      </c>
      <c r="C138" s="472">
        <f>IF(D93="","-",+C137+1)</f>
        <v>2059</v>
      </c>
      <c r="D138" s="346">
        <f>IF(F137+SUM(E$99:E137)=D$92,F137,D$92-SUM(E$99:E137))</f>
        <v>185649</v>
      </c>
      <c r="E138" s="484">
        <f t="shared" si="19"/>
        <v>61880</v>
      </c>
      <c r="F138" s="485">
        <f t="shared" si="20"/>
        <v>123769</v>
      </c>
      <c r="G138" s="485">
        <f t="shared" si="21"/>
        <v>154709</v>
      </c>
      <c r="H138" s="613">
        <f t="shared" si="14"/>
        <v>79484.769217104738</v>
      </c>
      <c r="I138" s="614">
        <f t="shared" si="15"/>
        <v>79484.769217104738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 ht="12.5">
      <c r="B139" s="160" t="str">
        <f t="shared" si="18"/>
        <v/>
      </c>
      <c r="C139" s="472">
        <f>IF(D93="","-",+C138+1)</f>
        <v>2060</v>
      </c>
      <c r="D139" s="346">
        <f>IF(F138+SUM(E$99:E138)=D$92,F138,D$92-SUM(E$99:E138))</f>
        <v>123769</v>
      </c>
      <c r="E139" s="484">
        <f t="shared" si="19"/>
        <v>61880</v>
      </c>
      <c r="F139" s="485">
        <f t="shared" si="20"/>
        <v>61889</v>
      </c>
      <c r="G139" s="485">
        <f t="shared" si="21"/>
        <v>92829</v>
      </c>
      <c r="H139" s="613">
        <f t="shared" si="14"/>
        <v>72443.271184317753</v>
      </c>
      <c r="I139" s="614">
        <f t="shared" si="15"/>
        <v>72443.271184317753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 ht="12.5">
      <c r="B140" s="160" t="str">
        <f t="shared" si="18"/>
        <v/>
      </c>
      <c r="C140" s="472">
        <f>IF(D93="","-",+C139+1)</f>
        <v>2061</v>
      </c>
      <c r="D140" s="346">
        <f>IF(F139+SUM(E$99:E139)=D$92,F139,D$92-SUM(E$99:E139))</f>
        <v>61889</v>
      </c>
      <c r="E140" s="484">
        <f t="shared" si="19"/>
        <v>61880</v>
      </c>
      <c r="F140" s="485">
        <f t="shared" si="20"/>
        <v>9</v>
      </c>
      <c r="G140" s="485">
        <f t="shared" si="21"/>
        <v>30949</v>
      </c>
      <c r="H140" s="613">
        <f t="shared" si="14"/>
        <v>65401.773151530775</v>
      </c>
      <c r="I140" s="614">
        <f t="shared" si="15"/>
        <v>65401.773151530775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 ht="12.5">
      <c r="B141" s="160" t="str">
        <f t="shared" si="18"/>
        <v/>
      </c>
      <c r="C141" s="472">
        <f>IF(D93="","-",+C140+1)</f>
        <v>2062</v>
      </c>
      <c r="D141" s="346">
        <f>IF(F140+SUM(E$99:E140)=D$92,F140,D$92-SUM(E$99:E140))</f>
        <v>9</v>
      </c>
      <c r="E141" s="484">
        <f t="shared" si="19"/>
        <v>9</v>
      </c>
      <c r="F141" s="485">
        <f t="shared" si="20"/>
        <v>0</v>
      </c>
      <c r="G141" s="485">
        <f t="shared" si="21"/>
        <v>4.5</v>
      </c>
      <c r="H141" s="613">
        <f t="shared" si="14"/>
        <v>9.5120675686415872</v>
      </c>
      <c r="I141" s="614">
        <f t="shared" si="15"/>
        <v>9.5120675686415872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 ht="12.5">
      <c r="B142" s="160" t="str">
        <f t="shared" si="18"/>
        <v/>
      </c>
      <c r="C142" s="472">
        <f>IF(D93="","-",+C141+1)</f>
        <v>2063</v>
      </c>
      <c r="D142" s="346">
        <f>IF(F141+SUM(E$99:E141)=D$92,F141,D$92-SUM(E$99:E141))</f>
        <v>0</v>
      </c>
      <c r="E142" s="484">
        <f t="shared" si="19"/>
        <v>0</v>
      </c>
      <c r="F142" s="485">
        <f t="shared" si="20"/>
        <v>0</v>
      </c>
      <c r="G142" s="485">
        <f t="shared" si="21"/>
        <v>0</v>
      </c>
      <c r="H142" s="613">
        <f t="shared" si="14"/>
        <v>0</v>
      </c>
      <c r="I142" s="614">
        <f t="shared" si="15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 ht="12.5">
      <c r="B143" s="160" t="str">
        <f t="shared" si="18"/>
        <v/>
      </c>
      <c r="C143" s="472">
        <f>IF(D93="","-",+C142+1)</f>
        <v>2064</v>
      </c>
      <c r="D143" s="346">
        <f>IF(F142+SUM(E$99:E142)=D$92,F142,D$92-SUM(E$99:E142))</f>
        <v>0</v>
      </c>
      <c r="E143" s="484">
        <f t="shared" si="19"/>
        <v>0</v>
      </c>
      <c r="F143" s="485">
        <f t="shared" si="20"/>
        <v>0</v>
      </c>
      <c r="G143" s="485">
        <f t="shared" si="21"/>
        <v>0</v>
      </c>
      <c r="H143" s="613">
        <f t="shared" si="14"/>
        <v>0</v>
      </c>
      <c r="I143" s="614">
        <f t="shared" si="15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 ht="12.5">
      <c r="B144" s="160" t="str">
        <f t="shared" si="18"/>
        <v/>
      </c>
      <c r="C144" s="472">
        <f>IF(D93="","-",+C143+1)</f>
        <v>2065</v>
      </c>
      <c r="D144" s="346">
        <f>IF(F143+SUM(E$99:E143)=D$92,F143,D$92-SUM(E$99:E143))</f>
        <v>0</v>
      </c>
      <c r="E144" s="484">
        <f t="shared" si="19"/>
        <v>0</v>
      </c>
      <c r="F144" s="485">
        <f t="shared" si="20"/>
        <v>0</v>
      </c>
      <c r="G144" s="485">
        <f t="shared" si="21"/>
        <v>0</v>
      </c>
      <c r="H144" s="613">
        <f t="shared" si="14"/>
        <v>0</v>
      </c>
      <c r="I144" s="614">
        <f t="shared" si="15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 ht="12.5">
      <c r="B145" s="160" t="str">
        <f t="shared" si="18"/>
        <v/>
      </c>
      <c r="C145" s="472">
        <f>IF(D93="","-",+C144+1)</f>
        <v>2066</v>
      </c>
      <c r="D145" s="346">
        <f>IF(F144+SUM(E$99:E144)=D$92,F144,D$92-SUM(E$99:E144))</f>
        <v>0</v>
      </c>
      <c r="E145" s="484">
        <f t="shared" si="19"/>
        <v>0</v>
      </c>
      <c r="F145" s="485">
        <f t="shared" si="20"/>
        <v>0</v>
      </c>
      <c r="G145" s="485">
        <f t="shared" si="21"/>
        <v>0</v>
      </c>
      <c r="H145" s="613">
        <f t="shared" si="14"/>
        <v>0</v>
      </c>
      <c r="I145" s="614">
        <f t="shared" si="15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 ht="12.5">
      <c r="B146" s="160" t="str">
        <f t="shared" si="18"/>
        <v/>
      </c>
      <c r="C146" s="472">
        <f>IF(D93="","-",+C145+1)</f>
        <v>2067</v>
      </c>
      <c r="D146" s="346">
        <f>IF(F145+SUM(E$99:E145)=D$92,F145,D$92-SUM(E$99:E145))</f>
        <v>0</v>
      </c>
      <c r="E146" s="484">
        <f t="shared" si="19"/>
        <v>0</v>
      </c>
      <c r="F146" s="485">
        <f t="shared" si="20"/>
        <v>0</v>
      </c>
      <c r="G146" s="485">
        <f t="shared" si="21"/>
        <v>0</v>
      </c>
      <c r="H146" s="613">
        <f t="shared" si="14"/>
        <v>0</v>
      </c>
      <c r="I146" s="614">
        <f t="shared" si="15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 ht="12.5">
      <c r="B147" s="160" t="str">
        <f t="shared" si="18"/>
        <v/>
      </c>
      <c r="C147" s="472">
        <f>IF(D93="","-",+C146+1)</f>
        <v>2068</v>
      </c>
      <c r="D147" s="346">
        <f>IF(F146+SUM(E$99:E146)=D$92,F146,D$92-SUM(E$99:E146))</f>
        <v>0</v>
      </c>
      <c r="E147" s="484">
        <f t="shared" si="19"/>
        <v>0</v>
      </c>
      <c r="F147" s="485">
        <f t="shared" si="20"/>
        <v>0</v>
      </c>
      <c r="G147" s="485">
        <f t="shared" si="21"/>
        <v>0</v>
      </c>
      <c r="H147" s="613">
        <f t="shared" si="14"/>
        <v>0</v>
      </c>
      <c r="I147" s="614">
        <f t="shared" si="15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 ht="12.5">
      <c r="B148" s="160" t="str">
        <f t="shared" si="18"/>
        <v/>
      </c>
      <c r="C148" s="472">
        <f>IF(D93="","-",+C147+1)</f>
        <v>2069</v>
      </c>
      <c r="D148" s="346">
        <f>IF(F147+SUM(E$99:E147)=D$92,F147,D$92-SUM(E$99:E147))</f>
        <v>0</v>
      </c>
      <c r="E148" s="484">
        <f t="shared" si="19"/>
        <v>0</v>
      </c>
      <c r="F148" s="485">
        <f t="shared" si="20"/>
        <v>0</v>
      </c>
      <c r="G148" s="485">
        <f t="shared" si="21"/>
        <v>0</v>
      </c>
      <c r="H148" s="613">
        <f t="shared" si="14"/>
        <v>0</v>
      </c>
      <c r="I148" s="614">
        <f t="shared" si="15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 ht="12.5">
      <c r="B149" s="160" t="str">
        <f t="shared" si="18"/>
        <v/>
      </c>
      <c r="C149" s="472">
        <f>IF(D93="","-",+C148+1)</f>
        <v>2070</v>
      </c>
      <c r="D149" s="346">
        <f>IF(F148+SUM(E$99:E148)=D$92,F148,D$92-SUM(E$99:E148))</f>
        <v>0</v>
      </c>
      <c r="E149" s="484">
        <f t="shared" si="19"/>
        <v>0</v>
      </c>
      <c r="F149" s="485">
        <f t="shared" si="20"/>
        <v>0</v>
      </c>
      <c r="G149" s="485">
        <f t="shared" si="21"/>
        <v>0</v>
      </c>
      <c r="H149" s="613">
        <f t="shared" si="14"/>
        <v>0</v>
      </c>
      <c r="I149" s="614">
        <f t="shared" si="15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 ht="12.5">
      <c r="B150" s="160" t="str">
        <f t="shared" si="18"/>
        <v/>
      </c>
      <c r="C150" s="472">
        <f>IF(D93="","-",+C149+1)</f>
        <v>2071</v>
      </c>
      <c r="D150" s="346">
        <f>IF(F149+SUM(E$99:E149)=D$92,F149,D$92-SUM(E$99:E149))</f>
        <v>0</v>
      </c>
      <c r="E150" s="484">
        <f t="shared" si="19"/>
        <v>0</v>
      </c>
      <c r="F150" s="485">
        <f t="shared" si="20"/>
        <v>0</v>
      </c>
      <c r="G150" s="485">
        <f t="shared" si="21"/>
        <v>0</v>
      </c>
      <c r="H150" s="613">
        <f t="shared" si="14"/>
        <v>0</v>
      </c>
      <c r="I150" s="614">
        <f t="shared" si="15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 ht="12.5">
      <c r="B151" s="160" t="str">
        <f t="shared" si="18"/>
        <v/>
      </c>
      <c r="C151" s="472">
        <f>IF(D93="","-",+C150+1)</f>
        <v>2072</v>
      </c>
      <c r="D151" s="346">
        <f>IF(F150+SUM(E$99:E150)=D$92,F150,D$92-SUM(E$99:E150))</f>
        <v>0</v>
      </c>
      <c r="E151" s="484">
        <f t="shared" si="19"/>
        <v>0</v>
      </c>
      <c r="F151" s="485">
        <f t="shared" si="20"/>
        <v>0</v>
      </c>
      <c r="G151" s="485">
        <f t="shared" si="21"/>
        <v>0</v>
      </c>
      <c r="H151" s="613">
        <f t="shared" si="14"/>
        <v>0</v>
      </c>
      <c r="I151" s="614">
        <f t="shared" si="15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 ht="12.5">
      <c r="B152" s="160" t="str">
        <f t="shared" si="18"/>
        <v/>
      </c>
      <c r="C152" s="472">
        <f>IF(D93="","-",+C151+1)</f>
        <v>2073</v>
      </c>
      <c r="D152" s="346">
        <f>IF(F151+SUM(E$99:E151)=D$92,F151,D$92-SUM(E$99:E151))</f>
        <v>0</v>
      </c>
      <c r="E152" s="484">
        <f t="shared" si="19"/>
        <v>0</v>
      </c>
      <c r="F152" s="485">
        <f t="shared" si="20"/>
        <v>0</v>
      </c>
      <c r="G152" s="485">
        <f t="shared" si="21"/>
        <v>0</v>
      </c>
      <c r="H152" s="613">
        <f t="shared" si="14"/>
        <v>0</v>
      </c>
      <c r="I152" s="614">
        <f t="shared" si="15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 ht="12.5">
      <c r="B153" s="160" t="str">
        <f t="shared" si="18"/>
        <v/>
      </c>
      <c r="C153" s="472">
        <f>IF(D93="","-",+C152+1)</f>
        <v>2074</v>
      </c>
      <c r="D153" s="346">
        <f>IF(F152+SUM(E$99:E152)=D$92,F152,D$92-SUM(E$99:E152))</f>
        <v>0</v>
      </c>
      <c r="E153" s="484">
        <f t="shared" si="19"/>
        <v>0</v>
      </c>
      <c r="F153" s="485">
        <f t="shared" si="20"/>
        <v>0</v>
      </c>
      <c r="G153" s="485">
        <f t="shared" si="21"/>
        <v>0</v>
      </c>
      <c r="H153" s="613">
        <f t="shared" si="14"/>
        <v>0</v>
      </c>
      <c r="I153" s="614">
        <f t="shared" si="15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" thickBot="1">
      <c r="B154" s="160" t="str">
        <f t="shared" si="18"/>
        <v/>
      </c>
      <c r="C154" s="489">
        <f>IF(D93="","-",+C153+1)</f>
        <v>2075</v>
      </c>
      <c r="D154" s="543">
        <f>IF(F153+SUM(E$99:E153)=D$92,F153,D$92-SUM(E$99:E153))</f>
        <v>0</v>
      </c>
      <c r="E154" s="491">
        <f t="shared" si="19"/>
        <v>0</v>
      </c>
      <c r="F154" s="490">
        <f t="shared" si="20"/>
        <v>0</v>
      </c>
      <c r="G154" s="490">
        <f t="shared" si="21"/>
        <v>0</v>
      </c>
      <c r="H154" s="615">
        <f t="shared" si="14"/>
        <v>0</v>
      </c>
      <c r="I154" s="616">
        <f t="shared" si="15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 ht="12.5">
      <c r="C155" s="346" t="s">
        <v>77</v>
      </c>
      <c r="D155" s="347"/>
      <c r="E155" s="347">
        <f>SUM(E99:E154)</f>
        <v>2537089</v>
      </c>
      <c r="F155" s="347"/>
      <c r="G155" s="347"/>
      <c r="H155" s="347">
        <f>SUM(H99:H154)</f>
        <v>8601327.4923487026</v>
      </c>
      <c r="I155" s="347">
        <f>SUM(I99:I154)</f>
        <v>8601327.4923487026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</sheetPr>
  <dimension ref="A1:P162"/>
  <sheetViews>
    <sheetView zoomScale="80" zoomScaleNormal="80" workbookViewId="0">
      <selection activeCell="E7" sqref="E7"/>
    </sheetView>
  </sheetViews>
  <sheetFormatPr defaultColWidth="8.7265625" defaultRowHeight="12.5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29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0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0</v>
      </c>
      <c r="O6" s="232"/>
      <c r="P6" s="232"/>
    </row>
    <row r="7" spans="1:16" ht="13.5" thickBot="1">
      <c r="C7" s="431" t="s">
        <v>46</v>
      </c>
      <c r="D7" s="622" t="s">
        <v>374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375</v>
      </c>
      <c r="E9" s="623" t="s">
        <v>376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0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2022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0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2022</v>
      </c>
      <c r="D17" s="584">
        <v>0</v>
      </c>
      <c r="E17" s="585">
        <v>20314.791666666668</v>
      </c>
      <c r="F17" s="584">
        <v>1442350.2083333333</v>
      </c>
      <c r="G17" s="585">
        <v>98065.578092049604</v>
      </c>
      <c r="H17" s="587">
        <v>98065.578092049604</v>
      </c>
      <c r="I17" s="65">
        <f>H17-G17</f>
        <v>0</v>
      </c>
      <c r="J17" s="475"/>
      <c r="K17" s="554">
        <f>+G17</f>
        <v>98065.578092049604</v>
      </c>
      <c r="L17" s="477">
        <f t="shared" ref="L17:L72" si="0">IF(K17&lt;&gt;0,+G17-K17,0)</f>
        <v>0</v>
      </c>
      <c r="M17" s="554">
        <f>+H17</f>
        <v>98065.578092049604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2023</v>
      </c>
      <c r="D18" s="71"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/>
      </c>
      <c r="C19" s="472">
        <f>IF(D11="","-",+C18+1)</f>
        <v>2024</v>
      </c>
      <c r="D19" s="71">
        <v>0</v>
      </c>
      <c r="E19" s="69">
        <f t="shared" ref="E19:E71" si="4">IF(+I$14&lt;F18,I$14,D19)</f>
        <v>0</v>
      </c>
      <c r="F19" s="68">
        <f t="shared" ref="F19:F71" si="5">+D19-E19</f>
        <v>0</v>
      </c>
      <c r="G19" s="70">
        <f t="shared" ref="G19:G71" si="6">(D19+F19)/2*I$12+E19</f>
        <v>0</v>
      </c>
      <c r="H19" s="52">
        <f t="shared" ref="H19:H71" si="7">+(D19+F19)/2*I$13+E19</f>
        <v>0</v>
      </c>
      <c r="I19" s="65">
        <f t="shared" ref="I19:I71" si="8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9">IF(D20=F19,"","IU")</f>
        <v/>
      </c>
      <c r="C20" s="472">
        <f>IF(D11="","-",+C19+1)</f>
        <v>2025</v>
      </c>
      <c r="D20" s="71">
        <v>0</v>
      </c>
      <c r="E20" s="69">
        <f t="shared" si="4"/>
        <v>0</v>
      </c>
      <c r="F20" s="68">
        <f t="shared" si="5"/>
        <v>0</v>
      </c>
      <c r="G20" s="70">
        <f t="shared" si="6"/>
        <v>0</v>
      </c>
      <c r="H20" s="52">
        <f t="shared" si="7"/>
        <v>0</v>
      </c>
      <c r="I20" s="65">
        <f t="shared" si="8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9"/>
        <v>IU</v>
      </c>
      <c r="C21" s="472">
        <f>IF(D11="","-",+C20+1)</f>
        <v>2026</v>
      </c>
      <c r="D21" s="71">
        <f>IF(F20+SUM(E$17:E20)=D$10,F20,D$10-SUM(E$17:E20))</f>
        <v>-20314.791666666668</v>
      </c>
      <c r="E21" s="69">
        <f t="shared" si="4"/>
        <v>-20314.791666666668</v>
      </c>
      <c r="F21" s="68">
        <f t="shared" si="5"/>
        <v>0</v>
      </c>
      <c r="G21" s="70">
        <f t="shared" si="6"/>
        <v>-21527.167774739046</v>
      </c>
      <c r="H21" s="52">
        <f t="shared" si="7"/>
        <v>-21527.167774739046</v>
      </c>
      <c r="I21" s="65">
        <f t="shared" si="8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9"/>
        <v/>
      </c>
      <c r="C22" s="472">
        <f>IF(D11="","-",+C21+1)</f>
        <v>2027</v>
      </c>
      <c r="D22" s="71">
        <f>IF(F21+SUM(E$17:E21)=D$10,F21,D$10-SUM(E$17:E21))</f>
        <v>0</v>
      </c>
      <c r="E22" s="69">
        <f t="shared" si="4"/>
        <v>0</v>
      </c>
      <c r="F22" s="68">
        <f t="shared" si="5"/>
        <v>0</v>
      </c>
      <c r="G22" s="70">
        <f t="shared" si="6"/>
        <v>0</v>
      </c>
      <c r="H22" s="52">
        <f t="shared" si="7"/>
        <v>0</v>
      </c>
      <c r="I22" s="65">
        <f t="shared" si="8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9"/>
        <v/>
      </c>
      <c r="C23" s="472">
        <f>IF(D11="","-",+C22+1)</f>
        <v>2028</v>
      </c>
      <c r="D23" s="71">
        <f>IF(F22+SUM(E$17:E22)=D$10,F22,D$10-SUM(E$17:E22))</f>
        <v>0</v>
      </c>
      <c r="E23" s="69">
        <f t="shared" si="4"/>
        <v>0</v>
      </c>
      <c r="F23" s="68">
        <f t="shared" si="5"/>
        <v>0</v>
      </c>
      <c r="G23" s="70">
        <f t="shared" si="6"/>
        <v>0</v>
      </c>
      <c r="H23" s="52">
        <f t="shared" si="7"/>
        <v>0</v>
      </c>
      <c r="I23" s="65">
        <f t="shared" si="8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9"/>
        <v/>
      </c>
      <c r="C24" s="472">
        <f>IF(D11="","-",+C23+1)</f>
        <v>2029</v>
      </c>
      <c r="D24" s="71">
        <f>IF(F23+SUM(E$17:E23)=D$10,F23,D$10-SUM(E$17:E23))</f>
        <v>0</v>
      </c>
      <c r="E24" s="69">
        <f t="shared" si="4"/>
        <v>0</v>
      </c>
      <c r="F24" s="68">
        <f t="shared" si="5"/>
        <v>0</v>
      </c>
      <c r="G24" s="70">
        <f t="shared" si="6"/>
        <v>0</v>
      </c>
      <c r="H24" s="52">
        <f t="shared" si="7"/>
        <v>0</v>
      </c>
      <c r="I24" s="65">
        <f t="shared" si="8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9"/>
        <v/>
      </c>
      <c r="C25" s="472">
        <f>IF(D11="","-",+C24+1)</f>
        <v>2030</v>
      </c>
      <c r="D25" s="71">
        <f>IF(F24+SUM(E$17:E24)=D$10,F24,D$10-SUM(E$17:E24))</f>
        <v>0</v>
      </c>
      <c r="E25" s="69">
        <f t="shared" si="4"/>
        <v>0</v>
      </c>
      <c r="F25" s="68">
        <f t="shared" si="5"/>
        <v>0</v>
      </c>
      <c r="G25" s="70">
        <f t="shared" si="6"/>
        <v>0</v>
      </c>
      <c r="H25" s="52">
        <f t="shared" si="7"/>
        <v>0</v>
      </c>
      <c r="I25" s="65">
        <f t="shared" si="8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9"/>
        <v/>
      </c>
      <c r="C26" s="472">
        <f>IF(D11="","-",+C25+1)</f>
        <v>2031</v>
      </c>
      <c r="D26" s="71">
        <f>IF(F25+SUM(E$17:E25)=D$10,F25,D$10-SUM(E$17:E25))</f>
        <v>0</v>
      </c>
      <c r="E26" s="69">
        <f t="shared" si="4"/>
        <v>0</v>
      </c>
      <c r="F26" s="68">
        <f t="shared" si="5"/>
        <v>0</v>
      </c>
      <c r="G26" s="70">
        <f t="shared" si="6"/>
        <v>0</v>
      </c>
      <c r="H26" s="52">
        <f t="shared" si="7"/>
        <v>0</v>
      </c>
      <c r="I26" s="65">
        <f t="shared" si="8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9"/>
        <v/>
      </c>
      <c r="C27" s="472">
        <f>IF(D11="","-",+C26+1)</f>
        <v>2032</v>
      </c>
      <c r="D27" s="71">
        <f>IF(F26+SUM(E$17:E26)=D$10,F26,D$10-SUM(E$17:E26))</f>
        <v>0</v>
      </c>
      <c r="E27" s="69">
        <f t="shared" si="4"/>
        <v>0</v>
      </c>
      <c r="F27" s="68">
        <f t="shared" si="5"/>
        <v>0</v>
      </c>
      <c r="G27" s="70">
        <f t="shared" si="6"/>
        <v>0</v>
      </c>
      <c r="H27" s="52">
        <f t="shared" si="7"/>
        <v>0</v>
      </c>
      <c r="I27" s="65">
        <f t="shared" si="8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9"/>
        <v/>
      </c>
      <c r="C28" s="472">
        <f>IF(D11="","-",+C27+1)</f>
        <v>2033</v>
      </c>
      <c r="D28" s="71">
        <f>IF(F27+SUM(E$17:E27)=D$10,F27,D$10-SUM(E$17:E27))</f>
        <v>0</v>
      </c>
      <c r="E28" s="69">
        <f t="shared" si="4"/>
        <v>0</v>
      </c>
      <c r="F28" s="68">
        <f t="shared" si="5"/>
        <v>0</v>
      </c>
      <c r="G28" s="70">
        <f t="shared" si="6"/>
        <v>0</v>
      </c>
      <c r="H28" s="52">
        <f t="shared" si="7"/>
        <v>0</v>
      </c>
      <c r="I28" s="65">
        <f t="shared" si="8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9"/>
        <v/>
      </c>
      <c r="C29" s="472">
        <f>IF(D11="","-",+C28+1)</f>
        <v>2034</v>
      </c>
      <c r="D29" s="71">
        <f>IF(F28+SUM(E$17:E28)=D$10,F28,D$10-SUM(E$17:E28))</f>
        <v>0</v>
      </c>
      <c r="E29" s="69">
        <f t="shared" si="4"/>
        <v>0</v>
      </c>
      <c r="F29" s="68">
        <f t="shared" si="5"/>
        <v>0</v>
      </c>
      <c r="G29" s="70">
        <f t="shared" si="6"/>
        <v>0</v>
      </c>
      <c r="H29" s="52">
        <f t="shared" si="7"/>
        <v>0</v>
      </c>
      <c r="I29" s="65">
        <f t="shared" si="8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9"/>
        <v/>
      </c>
      <c r="C30" s="472">
        <f>IF(D11="","-",+C29+1)</f>
        <v>2035</v>
      </c>
      <c r="D30" s="71">
        <f>IF(F29+SUM(E$17:E29)=D$10,F29,D$10-SUM(E$17:E29))</f>
        <v>0</v>
      </c>
      <c r="E30" s="69">
        <f t="shared" si="4"/>
        <v>0</v>
      </c>
      <c r="F30" s="68">
        <f t="shared" si="5"/>
        <v>0</v>
      </c>
      <c r="G30" s="70">
        <f t="shared" si="6"/>
        <v>0</v>
      </c>
      <c r="H30" s="52">
        <f t="shared" si="7"/>
        <v>0</v>
      </c>
      <c r="I30" s="65">
        <f t="shared" si="8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9"/>
        <v/>
      </c>
      <c r="C31" s="472">
        <f>IF(D11="","-",+C30+1)</f>
        <v>2036</v>
      </c>
      <c r="D31" s="71">
        <f>IF(F30+SUM(E$17:E30)=D$10,F30,D$10-SUM(E$17:E30))</f>
        <v>0</v>
      </c>
      <c r="E31" s="69">
        <f t="shared" si="4"/>
        <v>0</v>
      </c>
      <c r="F31" s="68">
        <f t="shared" si="5"/>
        <v>0</v>
      </c>
      <c r="G31" s="70">
        <f t="shared" si="6"/>
        <v>0</v>
      </c>
      <c r="H31" s="52">
        <f t="shared" si="7"/>
        <v>0</v>
      </c>
      <c r="I31" s="65">
        <f t="shared" si="8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9"/>
        <v/>
      </c>
      <c r="C32" s="472">
        <f>IF(D11="","-",+C31+1)</f>
        <v>2037</v>
      </c>
      <c r="D32" s="71">
        <f>IF(F31+SUM(E$17:E31)=D$10,F31,D$10-SUM(E$17:E31))</f>
        <v>0</v>
      </c>
      <c r="E32" s="69">
        <f t="shared" si="4"/>
        <v>0</v>
      </c>
      <c r="F32" s="68">
        <f t="shared" si="5"/>
        <v>0</v>
      </c>
      <c r="G32" s="70">
        <f t="shared" si="6"/>
        <v>0</v>
      </c>
      <c r="H32" s="52">
        <f t="shared" si="7"/>
        <v>0</v>
      </c>
      <c r="I32" s="65">
        <f t="shared" si="8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9"/>
        <v/>
      </c>
      <c r="C33" s="472">
        <f>IF(D11="","-",+C32+1)</f>
        <v>2038</v>
      </c>
      <c r="D33" s="71">
        <f>IF(F32+SUM(E$17:E32)=D$10,F32,D$10-SUM(E$17:E32))</f>
        <v>0</v>
      </c>
      <c r="E33" s="69">
        <f t="shared" si="4"/>
        <v>0</v>
      </c>
      <c r="F33" s="68">
        <f t="shared" si="5"/>
        <v>0</v>
      </c>
      <c r="G33" s="70">
        <f t="shared" si="6"/>
        <v>0</v>
      </c>
      <c r="H33" s="52">
        <f t="shared" si="7"/>
        <v>0</v>
      </c>
      <c r="I33" s="65">
        <f t="shared" si="8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9"/>
        <v/>
      </c>
      <c r="C34" s="472">
        <f>IF(D11="","-",+C33+1)</f>
        <v>2039</v>
      </c>
      <c r="D34" s="71">
        <f>IF(F33+SUM(E$17:E33)=D$10,F33,D$10-SUM(E$17:E33))</f>
        <v>0</v>
      </c>
      <c r="E34" s="69">
        <f t="shared" si="4"/>
        <v>0</v>
      </c>
      <c r="F34" s="68">
        <f t="shared" si="5"/>
        <v>0</v>
      </c>
      <c r="G34" s="70">
        <f t="shared" si="6"/>
        <v>0</v>
      </c>
      <c r="H34" s="52">
        <f t="shared" si="7"/>
        <v>0</v>
      </c>
      <c r="I34" s="65">
        <f t="shared" si="8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9"/>
        <v/>
      </c>
      <c r="C35" s="472">
        <f>IF(D11="","-",+C34+1)</f>
        <v>2040</v>
      </c>
      <c r="D35" s="71">
        <f>IF(F34+SUM(E$17:E34)=D$10,F34,D$10-SUM(E$17:E34))</f>
        <v>0</v>
      </c>
      <c r="E35" s="69">
        <f t="shared" si="4"/>
        <v>0</v>
      </c>
      <c r="F35" s="68">
        <f t="shared" si="5"/>
        <v>0</v>
      </c>
      <c r="G35" s="70">
        <f t="shared" si="6"/>
        <v>0</v>
      </c>
      <c r="H35" s="52">
        <f t="shared" si="7"/>
        <v>0</v>
      </c>
      <c r="I35" s="65">
        <f t="shared" si="8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9"/>
        <v/>
      </c>
      <c r="C36" s="472">
        <f>IF(D11="","-",+C35+1)</f>
        <v>2041</v>
      </c>
      <c r="D36" s="71">
        <f>IF(F35+SUM(E$17:E35)=D$10,F35,D$10-SUM(E$17:E35))</f>
        <v>0</v>
      </c>
      <c r="E36" s="69">
        <f t="shared" si="4"/>
        <v>0</v>
      </c>
      <c r="F36" s="68">
        <f t="shared" si="5"/>
        <v>0</v>
      </c>
      <c r="G36" s="70">
        <f t="shared" si="6"/>
        <v>0</v>
      </c>
      <c r="H36" s="52">
        <f t="shared" si="7"/>
        <v>0</v>
      </c>
      <c r="I36" s="65">
        <f t="shared" si="8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9"/>
        <v/>
      </c>
      <c r="C37" s="472">
        <f>IF(D11="","-",+C36+1)</f>
        <v>2042</v>
      </c>
      <c r="D37" s="71">
        <f>IF(F36+SUM(E$17:E36)=D$10,F36,D$10-SUM(E$17:E36))</f>
        <v>0</v>
      </c>
      <c r="E37" s="69">
        <f t="shared" si="4"/>
        <v>0</v>
      </c>
      <c r="F37" s="68">
        <f t="shared" si="5"/>
        <v>0</v>
      </c>
      <c r="G37" s="70">
        <f t="shared" si="6"/>
        <v>0</v>
      </c>
      <c r="H37" s="52">
        <f t="shared" si="7"/>
        <v>0</v>
      </c>
      <c r="I37" s="65">
        <f t="shared" si="8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9"/>
        <v/>
      </c>
      <c r="C38" s="472">
        <f>IF(D11="","-",+C37+1)</f>
        <v>2043</v>
      </c>
      <c r="D38" s="71">
        <f>IF(F37+SUM(E$17:E37)=D$10,F37,D$10-SUM(E$17:E37))</f>
        <v>0</v>
      </c>
      <c r="E38" s="69">
        <f t="shared" si="4"/>
        <v>0</v>
      </c>
      <c r="F38" s="68">
        <f t="shared" si="5"/>
        <v>0</v>
      </c>
      <c r="G38" s="70">
        <f t="shared" si="6"/>
        <v>0</v>
      </c>
      <c r="H38" s="52">
        <f t="shared" si="7"/>
        <v>0</v>
      </c>
      <c r="I38" s="65">
        <f t="shared" si="8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9"/>
        <v/>
      </c>
      <c r="C39" s="472">
        <f>IF(D11="","-",+C38+1)</f>
        <v>2044</v>
      </c>
      <c r="D39" s="71">
        <f>IF(F38+SUM(E$17:E38)=D$10,F38,D$10-SUM(E$17:E38))</f>
        <v>0</v>
      </c>
      <c r="E39" s="69">
        <f t="shared" si="4"/>
        <v>0</v>
      </c>
      <c r="F39" s="68">
        <f t="shared" si="5"/>
        <v>0</v>
      </c>
      <c r="G39" s="70">
        <f t="shared" si="6"/>
        <v>0</v>
      </c>
      <c r="H39" s="52">
        <f t="shared" si="7"/>
        <v>0</v>
      </c>
      <c r="I39" s="65">
        <f t="shared" si="8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9"/>
        <v/>
      </c>
      <c r="C40" s="472">
        <f>IF(D11="","-",+C39+1)</f>
        <v>2045</v>
      </c>
      <c r="D40" s="71">
        <f>IF(F39+SUM(E$17:E39)=D$10,F39,D$10-SUM(E$17:E39))</f>
        <v>0</v>
      </c>
      <c r="E40" s="69">
        <f t="shared" si="4"/>
        <v>0</v>
      </c>
      <c r="F40" s="68">
        <f t="shared" si="5"/>
        <v>0</v>
      </c>
      <c r="G40" s="70">
        <f t="shared" si="6"/>
        <v>0</v>
      </c>
      <c r="H40" s="52">
        <f t="shared" si="7"/>
        <v>0</v>
      </c>
      <c r="I40" s="65">
        <f t="shared" si="8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9"/>
        <v/>
      </c>
      <c r="C41" s="472">
        <f>IF(D11="","-",+C40+1)</f>
        <v>2046</v>
      </c>
      <c r="D41" s="71">
        <f>IF(F40+SUM(E$17:E40)=D$10,F40,D$10-SUM(E$17:E40))</f>
        <v>0</v>
      </c>
      <c r="E41" s="69">
        <f t="shared" si="4"/>
        <v>0</v>
      </c>
      <c r="F41" s="68">
        <f t="shared" si="5"/>
        <v>0</v>
      </c>
      <c r="G41" s="70">
        <f t="shared" si="6"/>
        <v>0</v>
      </c>
      <c r="H41" s="52">
        <f t="shared" si="7"/>
        <v>0</v>
      </c>
      <c r="I41" s="65">
        <f t="shared" si="8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9"/>
        <v/>
      </c>
      <c r="C42" s="472">
        <f>IF(D11="","-",+C41+1)</f>
        <v>2047</v>
      </c>
      <c r="D42" s="71">
        <f>IF(F41+SUM(E$17:E41)=D$10,F41,D$10-SUM(E$17:E41))</f>
        <v>0</v>
      </c>
      <c r="E42" s="69">
        <f t="shared" si="4"/>
        <v>0</v>
      </c>
      <c r="F42" s="68">
        <f t="shared" si="5"/>
        <v>0</v>
      </c>
      <c r="G42" s="70">
        <f t="shared" si="6"/>
        <v>0</v>
      </c>
      <c r="H42" s="52">
        <f t="shared" si="7"/>
        <v>0</v>
      </c>
      <c r="I42" s="65">
        <f t="shared" si="8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9"/>
        <v/>
      </c>
      <c r="C43" s="472">
        <f>IF(D11="","-",+C42+1)</f>
        <v>2048</v>
      </c>
      <c r="D43" s="71">
        <f>IF(F42+SUM(E$17:E42)=D$10,F42,D$10-SUM(E$17:E42))</f>
        <v>0</v>
      </c>
      <c r="E43" s="69">
        <f t="shared" si="4"/>
        <v>0</v>
      </c>
      <c r="F43" s="68">
        <f t="shared" si="5"/>
        <v>0</v>
      </c>
      <c r="G43" s="70">
        <f t="shared" si="6"/>
        <v>0</v>
      </c>
      <c r="H43" s="52">
        <f t="shared" si="7"/>
        <v>0</v>
      </c>
      <c r="I43" s="65">
        <f t="shared" si="8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9"/>
        <v/>
      </c>
      <c r="C44" s="472">
        <f>IF(D11="","-",+C43+1)</f>
        <v>2049</v>
      </c>
      <c r="D44" s="71">
        <f>IF(F43+SUM(E$17:E43)=D$10,F43,D$10-SUM(E$17:E43))</f>
        <v>0</v>
      </c>
      <c r="E44" s="69">
        <f t="shared" si="4"/>
        <v>0</v>
      </c>
      <c r="F44" s="68">
        <f t="shared" si="5"/>
        <v>0</v>
      </c>
      <c r="G44" s="70">
        <f t="shared" si="6"/>
        <v>0</v>
      </c>
      <c r="H44" s="52">
        <f t="shared" si="7"/>
        <v>0</v>
      </c>
      <c r="I44" s="65">
        <f t="shared" si="8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9"/>
        <v/>
      </c>
      <c r="C45" s="472">
        <f>IF(D11="","-",+C44+1)</f>
        <v>2050</v>
      </c>
      <c r="D45" s="71">
        <f>IF(F44+SUM(E$17:E44)=D$10,F44,D$10-SUM(E$17:E44))</f>
        <v>0</v>
      </c>
      <c r="E45" s="69">
        <f t="shared" si="4"/>
        <v>0</v>
      </c>
      <c r="F45" s="68">
        <f t="shared" si="5"/>
        <v>0</v>
      </c>
      <c r="G45" s="70">
        <f t="shared" si="6"/>
        <v>0</v>
      </c>
      <c r="H45" s="52">
        <f t="shared" si="7"/>
        <v>0</v>
      </c>
      <c r="I45" s="65">
        <f t="shared" si="8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9"/>
        <v/>
      </c>
      <c r="C46" s="472">
        <f>IF(D11="","-",+C45+1)</f>
        <v>2051</v>
      </c>
      <c r="D46" s="71">
        <f>IF(F45+SUM(E$17:E45)=D$10,F45,D$10-SUM(E$17:E45))</f>
        <v>0</v>
      </c>
      <c r="E46" s="69">
        <f t="shared" si="4"/>
        <v>0</v>
      </c>
      <c r="F46" s="68">
        <f t="shared" si="5"/>
        <v>0</v>
      </c>
      <c r="G46" s="70">
        <f t="shared" si="6"/>
        <v>0</v>
      </c>
      <c r="H46" s="52">
        <f t="shared" si="7"/>
        <v>0</v>
      </c>
      <c r="I46" s="65">
        <f t="shared" si="8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9"/>
        <v/>
      </c>
      <c r="C47" s="472">
        <f>IF(D11="","-",+C46+1)</f>
        <v>2052</v>
      </c>
      <c r="D47" s="71">
        <f>IF(F46+SUM(E$17:E46)=D$10,F46,D$10-SUM(E$17:E46))</f>
        <v>0</v>
      </c>
      <c r="E47" s="69">
        <f t="shared" si="4"/>
        <v>0</v>
      </c>
      <c r="F47" s="68">
        <f t="shared" si="5"/>
        <v>0</v>
      </c>
      <c r="G47" s="70">
        <f t="shared" si="6"/>
        <v>0</v>
      </c>
      <c r="H47" s="52">
        <f t="shared" si="7"/>
        <v>0</v>
      </c>
      <c r="I47" s="65">
        <f t="shared" si="8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9"/>
        <v/>
      </c>
      <c r="C48" s="472">
        <f>IF(D11="","-",+C47+1)</f>
        <v>2053</v>
      </c>
      <c r="D48" s="71">
        <f>IF(F47+SUM(E$17:E47)=D$10,F47,D$10-SUM(E$17:E47))</f>
        <v>0</v>
      </c>
      <c r="E48" s="69">
        <f t="shared" si="4"/>
        <v>0</v>
      </c>
      <c r="F48" s="68">
        <f t="shared" si="5"/>
        <v>0</v>
      </c>
      <c r="G48" s="70">
        <f t="shared" si="6"/>
        <v>0</v>
      </c>
      <c r="H48" s="52">
        <f t="shared" si="7"/>
        <v>0</v>
      </c>
      <c r="I48" s="65">
        <f t="shared" si="8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9"/>
        <v/>
      </c>
      <c r="C49" s="472">
        <f>IF(D11="","-",+C48+1)</f>
        <v>2054</v>
      </c>
      <c r="D49" s="71">
        <f>IF(F48+SUM(E$17:E48)=D$10,F48,D$10-SUM(E$17:E48))</f>
        <v>0</v>
      </c>
      <c r="E49" s="69">
        <f t="shared" si="4"/>
        <v>0</v>
      </c>
      <c r="F49" s="68">
        <f t="shared" si="5"/>
        <v>0</v>
      </c>
      <c r="G49" s="70">
        <f t="shared" si="6"/>
        <v>0</v>
      </c>
      <c r="H49" s="52">
        <f t="shared" si="7"/>
        <v>0</v>
      </c>
      <c r="I49" s="65">
        <f t="shared" si="8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9"/>
        <v/>
      </c>
      <c r="C50" s="472">
        <f>IF(D11="","-",+C49+1)</f>
        <v>2055</v>
      </c>
      <c r="D50" s="71">
        <f>IF(F49+SUM(E$17:E49)=D$10,F49,D$10-SUM(E$17:E49))</f>
        <v>0</v>
      </c>
      <c r="E50" s="69">
        <f t="shared" si="4"/>
        <v>0</v>
      </c>
      <c r="F50" s="68">
        <f t="shared" si="5"/>
        <v>0</v>
      </c>
      <c r="G50" s="70">
        <f t="shared" si="6"/>
        <v>0</v>
      </c>
      <c r="H50" s="52">
        <f t="shared" si="7"/>
        <v>0</v>
      </c>
      <c r="I50" s="65">
        <f t="shared" si="8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9"/>
        <v/>
      </c>
      <c r="C51" s="472">
        <f>IF(D11="","-",+C50+1)</f>
        <v>2056</v>
      </c>
      <c r="D51" s="71">
        <f>IF(F50+SUM(E$17:E50)=D$10,F50,D$10-SUM(E$17:E50))</f>
        <v>0</v>
      </c>
      <c r="E51" s="69">
        <f t="shared" si="4"/>
        <v>0</v>
      </c>
      <c r="F51" s="68">
        <f t="shared" si="5"/>
        <v>0</v>
      </c>
      <c r="G51" s="70">
        <f t="shared" si="6"/>
        <v>0</v>
      </c>
      <c r="H51" s="52">
        <f t="shared" si="7"/>
        <v>0</v>
      </c>
      <c r="I51" s="65">
        <f t="shared" si="8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9"/>
        <v/>
      </c>
      <c r="C52" s="472">
        <f>IF(D11="","-",+C51+1)</f>
        <v>2057</v>
      </c>
      <c r="D52" s="71">
        <f>IF(F51+SUM(E$17:E51)=D$10,F51,D$10-SUM(E$17:E51))</f>
        <v>0</v>
      </c>
      <c r="E52" s="69">
        <f t="shared" si="4"/>
        <v>0</v>
      </c>
      <c r="F52" s="68">
        <f t="shared" si="5"/>
        <v>0</v>
      </c>
      <c r="G52" s="70">
        <f t="shared" si="6"/>
        <v>0</v>
      </c>
      <c r="H52" s="52">
        <f t="shared" si="7"/>
        <v>0</v>
      </c>
      <c r="I52" s="65">
        <f t="shared" si="8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9"/>
        <v/>
      </c>
      <c r="C53" s="472">
        <f>IF(D11="","-",+C52+1)</f>
        <v>2058</v>
      </c>
      <c r="D53" s="71">
        <f>IF(F52+SUM(E$17:E52)=D$10,F52,D$10-SUM(E$17:E52))</f>
        <v>0</v>
      </c>
      <c r="E53" s="69">
        <f t="shared" si="4"/>
        <v>0</v>
      </c>
      <c r="F53" s="68">
        <f t="shared" si="5"/>
        <v>0</v>
      </c>
      <c r="G53" s="70">
        <f t="shared" si="6"/>
        <v>0</v>
      </c>
      <c r="H53" s="52">
        <f t="shared" si="7"/>
        <v>0</v>
      </c>
      <c r="I53" s="65">
        <f t="shared" si="8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9"/>
        <v/>
      </c>
      <c r="C54" s="472">
        <f>IF(D11="","-",+C53+1)</f>
        <v>2059</v>
      </c>
      <c r="D54" s="71">
        <f>IF(F53+SUM(E$17:E53)=D$10,F53,D$10-SUM(E$17:E53))</f>
        <v>0</v>
      </c>
      <c r="E54" s="69">
        <f t="shared" si="4"/>
        <v>0</v>
      </c>
      <c r="F54" s="68">
        <f t="shared" si="5"/>
        <v>0</v>
      </c>
      <c r="G54" s="70">
        <f t="shared" si="6"/>
        <v>0</v>
      </c>
      <c r="H54" s="52">
        <f t="shared" si="7"/>
        <v>0</v>
      </c>
      <c r="I54" s="65">
        <f t="shared" si="8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9"/>
        <v/>
      </c>
      <c r="C55" s="472">
        <f>IF(D11="","-",+C54+1)</f>
        <v>2060</v>
      </c>
      <c r="D55" s="71">
        <f>IF(F54+SUM(E$17:E54)=D$10,F54,D$10-SUM(E$17:E54))</f>
        <v>0</v>
      </c>
      <c r="E55" s="69">
        <f t="shared" si="4"/>
        <v>0</v>
      </c>
      <c r="F55" s="68">
        <f t="shared" si="5"/>
        <v>0</v>
      </c>
      <c r="G55" s="70">
        <f t="shared" si="6"/>
        <v>0</v>
      </c>
      <c r="H55" s="52">
        <f t="shared" si="7"/>
        <v>0</v>
      </c>
      <c r="I55" s="65">
        <f t="shared" si="8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9"/>
        <v/>
      </c>
      <c r="C56" s="472">
        <f>IF(D11="","-",+C55+1)</f>
        <v>2061</v>
      </c>
      <c r="D56" s="71">
        <f>IF(F55+SUM(E$17:E55)=D$10,F55,D$10-SUM(E$17:E55))</f>
        <v>0</v>
      </c>
      <c r="E56" s="69">
        <f t="shared" si="4"/>
        <v>0</v>
      </c>
      <c r="F56" s="68">
        <f t="shared" si="5"/>
        <v>0</v>
      </c>
      <c r="G56" s="70">
        <f t="shared" si="6"/>
        <v>0</v>
      </c>
      <c r="H56" s="52">
        <f t="shared" si="7"/>
        <v>0</v>
      </c>
      <c r="I56" s="65">
        <f t="shared" si="8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9"/>
        <v/>
      </c>
      <c r="C57" s="472">
        <f>IF(D11="","-",+C56+1)</f>
        <v>2062</v>
      </c>
      <c r="D57" s="71">
        <f>IF(F56+SUM(E$17:E56)=D$10,F56,D$10-SUM(E$17:E56))</f>
        <v>0</v>
      </c>
      <c r="E57" s="69">
        <f t="shared" si="4"/>
        <v>0</v>
      </c>
      <c r="F57" s="68">
        <f t="shared" si="5"/>
        <v>0</v>
      </c>
      <c r="G57" s="70">
        <f t="shared" si="6"/>
        <v>0</v>
      </c>
      <c r="H57" s="52">
        <f t="shared" si="7"/>
        <v>0</v>
      </c>
      <c r="I57" s="65">
        <f t="shared" si="8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9"/>
        <v/>
      </c>
      <c r="C58" s="472">
        <f>IF(D11="","-",+C57+1)</f>
        <v>2063</v>
      </c>
      <c r="D58" s="71">
        <f>IF(F57+SUM(E$17:E57)=D$10,F57,D$10-SUM(E$17:E57))</f>
        <v>0</v>
      </c>
      <c r="E58" s="69">
        <f t="shared" si="4"/>
        <v>0</v>
      </c>
      <c r="F58" s="68">
        <f t="shared" si="5"/>
        <v>0</v>
      </c>
      <c r="G58" s="70">
        <f t="shared" si="6"/>
        <v>0</v>
      </c>
      <c r="H58" s="52">
        <f t="shared" si="7"/>
        <v>0</v>
      </c>
      <c r="I58" s="65">
        <f t="shared" si="8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9"/>
        <v/>
      </c>
      <c r="C59" s="472">
        <f>IF(D11="","-",+C58+1)</f>
        <v>2064</v>
      </c>
      <c r="D59" s="71">
        <f>IF(F58+SUM(E$17:E58)=D$10,F58,D$10-SUM(E$17:E58))</f>
        <v>0</v>
      </c>
      <c r="E59" s="69">
        <f t="shared" si="4"/>
        <v>0</v>
      </c>
      <c r="F59" s="68">
        <f t="shared" si="5"/>
        <v>0</v>
      </c>
      <c r="G59" s="70">
        <f t="shared" si="6"/>
        <v>0</v>
      </c>
      <c r="H59" s="52">
        <f t="shared" si="7"/>
        <v>0</v>
      </c>
      <c r="I59" s="65">
        <f t="shared" si="8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9"/>
        <v/>
      </c>
      <c r="C60" s="472">
        <f>IF(D11="","-",+C59+1)</f>
        <v>2065</v>
      </c>
      <c r="D60" s="71">
        <f>IF(F59+SUM(E$17:E59)=D$10,F59,D$10-SUM(E$17:E59))</f>
        <v>0</v>
      </c>
      <c r="E60" s="69">
        <f t="shared" si="4"/>
        <v>0</v>
      </c>
      <c r="F60" s="68">
        <f t="shared" si="5"/>
        <v>0</v>
      </c>
      <c r="G60" s="70">
        <f t="shared" si="6"/>
        <v>0</v>
      </c>
      <c r="H60" s="52">
        <f t="shared" si="7"/>
        <v>0</v>
      </c>
      <c r="I60" s="65">
        <f t="shared" si="8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9"/>
        <v/>
      </c>
      <c r="C61" s="472">
        <f>IF(D11="","-",+C60+1)</f>
        <v>2066</v>
      </c>
      <c r="D61" s="71">
        <f>IF(F60+SUM(E$17:E60)=D$10,F60,D$10-SUM(E$17:E60))</f>
        <v>0</v>
      </c>
      <c r="E61" s="69">
        <f t="shared" si="4"/>
        <v>0</v>
      </c>
      <c r="F61" s="68">
        <f t="shared" si="5"/>
        <v>0</v>
      </c>
      <c r="G61" s="70">
        <f t="shared" si="6"/>
        <v>0</v>
      </c>
      <c r="H61" s="52">
        <f t="shared" si="7"/>
        <v>0</v>
      </c>
      <c r="I61" s="65">
        <f t="shared" si="8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9"/>
        <v/>
      </c>
      <c r="C62" s="472">
        <f>IF(D11="","-",+C61+1)</f>
        <v>2067</v>
      </c>
      <c r="D62" s="71">
        <f>IF(F61+SUM(E$17:E61)=D$10,F61,D$10-SUM(E$17:E61))</f>
        <v>0</v>
      </c>
      <c r="E62" s="69">
        <f t="shared" si="4"/>
        <v>0</v>
      </c>
      <c r="F62" s="68">
        <f t="shared" si="5"/>
        <v>0</v>
      </c>
      <c r="G62" s="70">
        <f t="shared" si="6"/>
        <v>0</v>
      </c>
      <c r="H62" s="52">
        <f t="shared" si="7"/>
        <v>0</v>
      </c>
      <c r="I62" s="65">
        <f t="shared" si="8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9"/>
        <v/>
      </c>
      <c r="C63" s="472">
        <f>IF(D11="","-",+C62+1)</f>
        <v>2068</v>
      </c>
      <c r="D63" s="71">
        <f>IF(F62+SUM(E$17:E62)=D$10,F62,D$10-SUM(E$17:E62))</f>
        <v>0</v>
      </c>
      <c r="E63" s="69">
        <f t="shared" si="4"/>
        <v>0</v>
      </c>
      <c r="F63" s="68">
        <f t="shared" si="5"/>
        <v>0</v>
      </c>
      <c r="G63" s="70">
        <f t="shared" si="6"/>
        <v>0</v>
      </c>
      <c r="H63" s="52">
        <f t="shared" si="7"/>
        <v>0</v>
      </c>
      <c r="I63" s="65">
        <f t="shared" si="8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9"/>
        <v/>
      </c>
      <c r="C64" s="472">
        <f>IF(D11="","-",+C63+1)</f>
        <v>2069</v>
      </c>
      <c r="D64" s="71">
        <f>IF(F63+SUM(E$17:E63)=D$10,F63,D$10-SUM(E$17:E63))</f>
        <v>0</v>
      </c>
      <c r="E64" s="69">
        <f t="shared" si="4"/>
        <v>0</v>
      </c>
      <c r="F64" s="68">
        <f t="shared" si="5"/>
        <v>0</v>
      </c>
      <c r="G64" s="70">
        <f t="shared" si="6"/>
        <v>0</v>
      </c>
      <c r="H64" s="52">
        <f t="shared" si="7"/>
        <v>0</v>
      </c>
      <c r="I64" s="65">
        <f t="shared" si="8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9"/>
        <v/>
      </c>
      <c r="C65" s="472">
        <f>IF(D11="","-",+C64+1)</f>
        <v>2070</v>
      </c>
      <c r="D65" s="71">
        <f>IF(F64+SUM(E$17:E64)=D$10,F64,D$10-SUM(E$17:E64))</f>
        <v>0</v>
      </c>
      <c r="E65" s="69">
        <f t="shared" si="4"/>
        <v>0</v>
      </c>
      <c r="F65" s="68">
        <f t="shared" si="5"/>
        <v>0</v>
      </c>
      <c r="G65" s="70">
        <f t="shared" si="6"/>
        <v>0</v>
      </c>
      <c r="H65" s="52">
        <f t="shared" si="7"/>
        <v>0</v>
      </c>
      <c r="I65" s="65">
        <f t="shared" si="8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9"/>
        <v/>
      </c>
      <c r="C66" s="472">
        <f>IF(D11="","-",+C65+1)</f>
        <v>2071</v>
      </c>
      <c r="D66" s="71">
        <f>IF(F65+SUM(E$17:E65)=D$10,F65,D$10-SUM(E$17:E65))</f>
        <v>0</v>
      </c>
      <c r="E66" s="69">
        <f t="shared" si="4"/>
        <v>0</v>
      </c>
      <c r="F66" s="68">
        <f t="shared" si="5"/>
        <v>0</v>
      </c>
      <c r="G66" s="70">
        <f t="shared" si="6"/>
        <v>0</v>
      </c>
      <c r="H66" s="52">
        <f t="shared" si="7"/>
        <v>0</v>
      </c>
      <c r="I66" s="65">
        <f t="shared" si="8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9"/>
        <v/>
      </c>
      <c r="C67" s="472">
        <f>IF(D11="","-",+C66+1)</f>
        <v>2072</v>
      </c>
      <c r="D67" s="71">
        <f>IF(F66+SUM(E$17:E66)=D$10,F66,D$10-SUM(E$17:E66))</f>
        <v>0</v>
      </c>
      <c r="E67" s="69">
        <f t="shared" si="4"/>
        <v>0</v>
      </c>
      <c r="F67" s="68">
        <f t="shared" si="5"/>
        <v>0</v>
      </c>
      <c r="G67" s="70">
        <f t="shared" si="6"/>
        <v>0</v>
      </c>
      <c r="H67" s="52">
        <f t="shared" si="7"/>
        <v>0</v>
      </c>
      <c r="I67" s="65">
        <f t="shared" si="8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9"/>
        <v/>
      </c>
      <c r="C68" s="472">
        <f>IF(D11="","-",+C67+1)</f>
        <v>2073</v>
      </c>
      <c r="D68" s="71">
        <f>IF(F67+SUM(E$17:E67)=D$10,F67,D$10-SUM(E$17:E67))</f>
        <v>0</v>
      </c>
      <c r="E68" s="69">
        <f t="shared" si="4"/>
        <v>0</v>
      </c>
      <c r="F68" s="68">
        <f t="shared" si="5"/>
        <v>0</v>
      </c>
      <c r="G68" s="70">
        <f t="shared" si="6"/>
        <v>0</v>
      </c>
      <c r="H68" s="52">
        <f t="shared" si="7"/>
        <v>0</v>
      </c>
      <c r="I68" s="65">
        <f t="shared" si="8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9"/>
        <v/>
      </c>
      <c r="C69" s="472">
        <f>IF(D11="","-",+C68+1)</f>
        <v>2074</v>
      </c>
      <c r="D69" s="71">
        <f>IF(F68+SUM(E$17:E68)=D$10,F68,D$10-SUM(E$17:E68))</f>
        <v>0</v>
      </c>
      <c r="E69" s="69">
        <f t="shared" si="4"/>
        <v>0</v>
      </c>
      <c r="F69" s="68">
        <f t="shared" si="5"/>
        <v>0</v>
      </c>
      <c r="G69" s="70">
        <f t="shared" si="6"/>
        <v>0</v>
      </c>
      <c r="H69" s="52">
        <f t="shared" si="7"/>
        <v>0</v>
      </c>
      <c r="I69" s="65">
        <f t="shared" si="8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9"/>
        <v/>
      </c>
      <c r="C70" s="472">
        <f>IF(D11="","-",+C69+1)</f>
        <v>2075</v>
      </c>
      <c r="D70" s="71">
        <f>IF(F69+SUM(E$17:E69)=D$10,F69,D$10-SUM(E$17:E69))</f>
        <v>0</v>
      </c>
      <c r="E70" s="69">
        <f t="shared" si="4"/>
        <v>0</v>
      </c>
      <c r="F70" s="68">
        <f t="shared" si="5"/>
        <v>0</v>
      </c>
      <c r="G70" s="70">
        <f t="shared" si="6"/>
        <v>0</v>
      </c>
      <c r="H70" s="52">
        <f t="shared" si="7"/>
        <v>0</v>
      </c>
      <c r="I70" s="65">
        <f t="shared" si="8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9"/>
        <v/>
      </c>
      <c r="C71" s="472">
        <f>IF(D11="","-",+C70+1)</f>
        <v>2076</v>
      </c>
      <c r="D71" s="71">
        <f>IF(F70+SUM(E$17:E70)=D$10,F70,D$10-SUM(E$17:E70))</f>
        <v>0</v>
      </c>
      <c r="E71" s="69">
        <f t="shared" si="4"/>
        <v>0</v>
      </c>
      <c r="F71" s="68">
        <f t="shared" si="5"/>
        <v>0</v>
      </c>
      <c r="G71" s="70">
        <f t="shared" si="6"/>
        <v>0</v>
      </c>
      <c r="H71" s="52">
        <f t="shared" si="7"/>
        <v>0</v>
      </c>
      <c r="I71" s="65">
        <f t="shared" si="8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9"/>
        <v/>
      </c>
      <c r="C72" s="489">
        <f>IF(D11="","-",+C71+1)</f>
        <v>2077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0</v>
      </c>
      <c r="F73" s="347"/>
      <c r="G73" s="347">
        <f>SUM(G17:G72)</f>
        <v>76538.410317310554</v>
      </c>
      <c r="H73" s="347">
        <f>SUM(H17:H72)</f>
        <v>76538.410317310554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29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4"/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1203704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>
      <c r="C93" s="450" t="s">
        <v>53</v>
      </c>
      <c r="D93" s="525">
        <v>2021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v>11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29359</v>
      </c>
      <c r="K96" s="347"/>
      <c r="L96" s="347"/>
      <c r="M96" s="347"/>
      <c r="N96" s="347"/>
      <c r="O96" s="347"/>
      <c r="P96" s="242"/>
    </row>
    <row r="97" spans="1:16" ht="39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2021</v>
      </c>
      <c r="D99" s="584">
        <v>0</v>
      </c>
      <c r="E99" s="608">
        <v>0</v>
      </c>
      <c r="F99" s="584">
        <v>1203704</v>
      </c>
      <c r="G99" s="608">
        <v>601852</v>
      </c>
      <c r="H99" s="587">
        <v>68486.42007157256</v>
      </c>
      <c r="I99" s="607">
        <v>68486.42007157256</v>
      </c>
      <c r="J99" s="478">
        <f>+I99-H99</f>
        <v>0</v>
      </c>
      <c r="K99" s="478"/>
      <c r="L99" s="477">
        <f>+H99</f>
        <v>68486.42007157256</v>
      </c>
      <c r="M99" s="477">
        <f t="shared" ref="M99:M130" si="10">IF(L99&lt;&gt;0,+H99-L99,0)</f>
        <v>0</v>
      </c>
      <c r="N99" s="477">
        <f>+I99</f>
        <v>68486.42007157256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/>
      </c>
      <c r="C100" s="472">
        <f>IF(D93="","-",+C99+1)</f>
        <v>2022</v>
      </c>
      <c r="D100" s="346">
        <f>IF(F99+SUM(E$99:E99)=D$92,F99,D$92-SUM(E$99:E99))</f>
        <v>1203704</v>
      </c>
      <c r="E100" s="484">
        <f>IF(+J$96&lt;F99,J$96,D100)</f>
        <v>29359</v>
      </c>
      <c r="F100" s="485">
        <f>+D100-E100</f>
        <v>1174345</v>
      </c>
      <c r="G100" s="485">
        <f>+(F100+D100)/2</f>
        <v>1189024.5</v>
      </c>
      <c r="H100" s="613">
        <f t="shared" ref="H100:H154" si="13">+J$94*G100+E100</f>
        <v>164661.41883783974</v>
      </c>
      <c r="I100" s="614">
        <f t="shared" ref="I100:I154" si="14">+J$95*G100+E100</f>
        <v>164661.41883783974</v>
      </c>
      <c r="J100" s="478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2023</v>
      </c>
      <c r="D101" s="346">
        <f>IF(F100+SUM(E$99:E100)=D$92,F100,D$92-SUM(E$99:E100))</f>
        <v>1174345</v>
      </c>
      <c r="E101" s="484">
        <f t="shared" ref="E101:E154" si="17">IF(+J$96&lt;F100,J$96,D101)</f>
        <v>29359</v>
      </c>
      <c r="F101" s="485">
        <f t="shared" ref="F101:F154" si="18">+D101-E101</f>
        <v>1144986</v>
      </c>
      <c r="G101" s="485">
        <f t="shared" ref="G101:G154" si="19">+(F101+D101)/2</f>
        <v>1159665.5</v>
      </c>
      <c r="H101" s="613">
        <f t="shared" si="13"/>
        <v>161320.576227229</v>
      </c>
      <c r="I101" s="614">
        <f t="shared" si="14"/>
        <v>161320.576227229</v>
      </c>
      <c r="J101" s="478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6"/>
        <v/>
      </c>
      <c r="C102" s="472">
        <f>IF(D93="","-",+C101+1)</f>
        <v>2024</v>
      </c>
      <c r="D102" s="346">
        <f>IF(F101+SUM(E$99:E101)=D$92,F101,D$92-SUM(E$99:E101))</f>
        <v>1144986</v>
      </c>
      <c r="E102" s="484">
        <f t="shared" si="17"/>
        <v>29359</v>
      </c>
      <c r="F102" s="485">
        <f t="shared" si="18"/>
        <v>1115627</v>
      </c>
      <c r="G102" s="485">
        <f t="shared" si="19"/>
        <v>1130306.5</v>
      </c>
      <c r="H102" s="613">
        <f t="shared" si="13"/>
        <v>157979.73361661826</v>
      </c>
      <c r="I102" s="614">
        <f t="shared" si="14"/>
        <v>157979.73361661826</v>
      </c>
      <c r="J102" s="478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6"/>
        <v/>
      </c>
      <c r="C103" s="472">
        <f>IF(D93="","-",+C102+1)</f>
        <v>2025</v>
      </c>
      <c r="D103" s="346">
        <f>IF(F102+SUM(E$99:E102)=D$92,F102,D$92-SUM(E$99:E102))</f>
        <v>1115627</v>
      </c>
      <c r="E103" s="484">
        <f t="shared" si="17"/>
        <v>29359</v>
      </c>
      <c r="F103" s="485">
        <f t="shared" si="18"/>
        <v>1086268</v>
      </c>
      <c r="G103" s="485">
        <f t="shared" si="19"/>
        <v>1100947.5</v>
      </c>
      <c r="H103" s="613">
        <f t="shared" si="13"/>
        <v>154638.8910060075</v>
      </c>
      <c r="I103" s="614">
        <f t="shared" si="14"/>
        <v>154638.8910060075</v>
      </c>
      <c r="J103" s="478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6"/>
        <v/>
      </c>
      <c r="C104" s="472">
        <f>IF(D93="","-",+C103+1)</f>
        <v>2026</v>
      </c>
      <c r="D104" s="346">
        <f>IF(F103+SUM(E$99:E103)=D$92,F103,D$92-SUM(E$99:E103))</f>
        <v>1086268</v>
      </c>
      <c r="E104" s="484">
        <f t="shared" si="17"/>
        <v>29359</v>
      </c>
      <c r="F104" s="485">
        <f t="shared" si="18"/>
        <v>1056909</v>
      </c>
      <c r="G104" s="485">
        <f t="shared" si="19"/>
        <v>1071588.5</v>
      </c>
      <c r="H104" s="613">
        <f t="shared" si="13"/>
        <v>151298.04839539673</v>
      </c>
      <c r="I104" s="614">
        <f t="shared" si="14"/>
        <v>151298.04839539673</v>
      </c>
      <c r="J104" s="478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6"/>
        <v/>
      </c>
      <c r="C105" s="472">
        <f>IF(D93="","-",+C104+1)</f>
        <v>2027</v>
      </c>
      <c r="D105" s="346">
        <f>IF(F104+SUM(E$99:E104)=D$92,F104,D$92-SUM(E$99:E104))</f>
        <v>1056909</v>
      </c>
      <c r="E105" s="484">
        <f t="shared" si="17"/>
        <v>29359</v>
      </c>
      <c r="F105" s="485">
        <f t="shared" si="18"/>
        <v>1027550</v>
      </c>
      <c r="G105" s="485">
        <f t="shared" si="19"/>
        <v>1042229.5</v>
      </c>
      <c r="H105" s="613">
        <f t="shared" si="13"/>
        <v>147957.20578478603</v>
      </c>
      <c r="I105" s="614">
        <f t="shared" si="14"/>
        <v>147957.20578478603</v>
      </c>
      <c r="J105" s="478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6"/>
        <v/>
      </c>
      <c r="C106" s="472">
        <f>IF(D93="","-",+C105+1)</f>
        <v>2028</v>
      </c>
      <c r="D106" s="346">
        <f>IF(F105+SUM(E$99:E105)=D$92,F105,D$92-SUM(E$99:E105))</f>
        <v>1027550</v>
      </c>
      <c r="E106" s="484">
        <f t="shared" si="17"/>
        <v>29359</v>
      </c>
      <c r="F106" s="485">
        <f t="shared" si="18"/>
        <v>998191</v>
      </c>
      <c r="G106" s="485">
        <f t="shared" si="19"/>
        <v>1012870.5</v>
      </c>
      <c r="H106" s="613">
        <f t="shared" si="13"/>
        <v>144616.36317417526</v>
      </c>
      <c r="I106" s="614">
        <f t="shared" si="14"/>
        <v>144616.36317417526</v>
      </c>
      <c r="J106" s="478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6"/>
        <v/>
      </c>
      <c r="C107" s="472">
        <f>IF(D93="","-",+C106+1)</f>
        <v>2029</v>
      </c>
      <c r="D107" s="346">
        <f>IF(F106+SUM(E$99:E106)=D$92,F106,D$92-SUM(E$99:E106))</f>
        <v>998191</v>
      </c>
      <c r="E107" s="484">
        <f t="shared" si="17"/>
        <v>29359</v>
      </c>
      <c r="F107" s="485">
        <f t="shared" si="18"/>
        <v>968832</v>
      </c>
      <c r="G107" s="485">
        <f t="shared" si="19"/>
        <v>983511.5</v>
      </c>
      <c r="H107" s="613">
        <f t="shared" si="13"/>
        <v>141275.5205635645</v>
      </c>
      <c r="I107" s="614">
        <f t="shared" si="14"/>
        <v>141275.5205635645</v>
      </c>
      <c r="J107" s="478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6"/>
        <v/>
      </c>
      <c r="C108" s="472">
        <f>IF(D93="","-",+C107+1)</f>
        <v>2030</v>
      </c>
      <c r="D108" s="346">
        <f>IF(F107+SUM(E$99:E107)=D$92,F107,D$92-SUM(E$99:E107))</f>
        <v>968832</v>
      </c>
      <c r="E108" s="484">
        <f t="shared" si="17"/>
        <v>29359</v>
      </c>
      <c r="F108" s="485">
        <f t="shared" si="18"/>
        <v>939473</v>
      </c>
      <c r="G108" s="485">
        <f t="shared" si="19"/>
        <v>954152.5</v>
      </c>
      <c r="H108" s="613">
        <f t="shared" si="13"/>
        <v>137934.67795295379</v>
      </c>
      <c r="I108" s="614">
        <f t="shared" si="14"/>
        <v>137934.67795295379</v>
      </c>
      <c r="J108" s="478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6"/>
        <v/>
      </c>
      <c r="C109" s="472">
        <f>IF(D93="","-",+C108+1)</f>
        <v>2031</v>
      </c>
      <c r="D109" s="346">
        <f>IF(F108+SUM(E$99:E108)=D$92,F108,D$92-SUM(E$99:E108))</f>
        <v>939473</v>
      </c>
      <c r="E109" s="484">
        <f t="shared" si="17"/>
        <v>29359</v>
      </c>
      <c r="F109" s="485">
        <f t="shared" si="18"/>
        <v>910114</v>
      </c>
      <c r="G109" s="485">
        <f t="shared" si="19"/>
        <v>924793.5</v>
      </c>
      <c r="H109" s="613">
        <f t="shared" si="13"/>
        <v>134593.83534234302</v>
      </c>
      <c r="I109" s="614">
        <f t="shared" si="14"/>
        <v>134593.83534234302</v>
      </c>
      <c r="J109" s="478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6"/>
        <v/>
      </c>
      <c r="C110" s="472">
        <f>IF(D93="","-",+C109+1)</f>
        <v>2032</v>
      </c>
      <c r="D110" s="346">
        <f>IF(F109+SUM(E$99:E109)=D$92,F109,D$92-SUM(E$99:E109))</f>
        <v>910114</v>
      </c>
      <c r="E110" s="484">
        <f t="shared" si="17"/>
        <v>29359</v>
      </c>
      <c r="F110" s="485">
        <f t="shared" si="18"/>
        <v>880755</v>
      </c>
      <c r="G110" s="485">
        <f t="shared" si="19"/>
        <v>895434.5</v>
      </c>
      <c r="H110" s="613">
        <f t="shared" si="13"/>
        <v>131252.99273173226</v>
      </c>
      <c r="I110" s="614">
        <f t="shared" si="14"/>
        <v>131252.99273173226</v>
      </c>
      <c r="J110" s="478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6"/>
        <v/>
      </c>
      <c r="C111" s="472">
        <f>IF(D93="","-",+C110+1)</f>
        <v>2033</v>
      </c>
      <c r="D111" s="346">
        <f>IF(F110+SUM(E$99:E110)=D$92,F110,D$92-SUM(E$99:E110))</f>
        <v>880755</v>
      </c>
      <c r="E111" s="484">
        <f t="shared" si="17"/>
        <v>29359</v>
      </c>
      <c r="F111" s="485">
        <f t="shared" si="18"/>
        <v>851396</v>
      </c>
      <c r="G111" s="485">
        <f t="shared" si="19"/>
        <v>866075.5</v>
      </c>
      <c r="H111" s="613">
        <f t="shared" si="13"/>
        <v>127912.15012112154</v>
      </c>
      <c r="I111" s="614">
        <f t="shared" si="14"/>
        <v>127912.15012112154</v>
      </c>
      <c r="J111" s="478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6"/>
        <v/>
      </c>
      <c r="C112" s="472">
        <f>IF(D93="","-",+C111+1)</f>
        <v>2034</v>
      </c>
      <c r="D112" s="346">
        <f>IF(F111+SUM(E$99:E111)=D$92,F111,D$92-SUM(E$99:E111))</f>
        <v>851396</v>
      </c>
      <c r="E112" s="484">
        <f t="shared" si="17"/>
        <v>29359</v>
      </c>
      <c r="F112" s="485">
        <f t="shared" si="18"/>
        <v>822037</v>
      </c>
      <c r="G112" s="485">
        <f t="shared" si="19"/>
        <v>836716.5</v>
      </c>
      <c r="H112" s="613">
        <f t="shared" si="13"/>
        <v>124571.30751051079</v>
      </c>
      <c r="I112" s="614">
        <f t="shared" si="14"/>
        <v>124571.30751051079</v>
      </c>
      <c r="J112" s="478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6"/>
        <v/>
      </c>
      <c r="C113" s="472">
        <f>IF(D93="","-",+C112+1)</f>
        <v>2035</v>
      </c>
      <c r="D113" s="346">
        <f>IF(F112+SUM(E$99:E112)=D$92,F112,D$92-SUM(E$99:E112))</f>
        <v>822037</v>
      </c>
      <c r="E113" s="484">
        <f t="shared" si="17"/>
        <v>29359</v>
      </c>
      <c r="F113" s="485">
        <f t="shared" si="18"/>
        <v>792678</v>
      </c>
      <c r="G113" s="485">
        <f t="shared" si="19"/>
        <v>807357.5</v>
      </c>
      <c r="H113" s="613">
        <f t="shared" si="13"/>
        <v>121230.46489990003</v>
      </c>
      <c r="I113" s="614">
        <f t="shared" si="14"/>
        <v>121230.46489990003</v>
      </c>
      <c r="J113" s="478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6"/>
        <v/>
      </c>
      <c r="C114" s="472">
        <f>IF(D93="","-",+C113+1)</f>
        <v>2036</v>
      </c>
      <c r="D114" s="346">
        <f>IF(F113+SUM(E$99:E113)=D$92,F113,D$92-SUM(E$99:E113))</f>
        <v>792678</v>
      </c>
      <c r="E114" s="484">
        <f t="shared" si="17"/>
        <v>29359</v>
      </c>
      <c r="F114" s="485">
        <f t="shared" si="18"/>
        <v>763319</v>
      </c>
      <c r="G114" s="485">
        <f t="shared" si="19"/>
        <v>777998.5</v>
      </c>
      <c r="H114" s="613">
        <f t="shared" si="13"/>
        <v>117889.6222892893</v>
      </c>
      <c r="I114" s="614">
        <f t="shared" si="14"/>
        <v>117889.6222892893</v>
      </c>
      <c r="J114" s="478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6"/>
        <v/>
      </c>
      <c r="C115" s="472">
        <f>IF(D93="","-",+C114+1)</f>
        <v>2037</v>
      </c>
      <c r="D115" s="346">
        <f>IF(F114+SUM(E$99:E114)=D$92,F114,D$92-SUM(E$99:E114))</f>
        <v>763319</v>
      </c>
      <c r="E115" s="484">
        <f t="shared" si="17"/>
        <v>29359</v>
      </c>
      <c r="F115" s="485">
        <f t="shared" si="18"/>
        <v>733960</v>
      </c>
      <c r="G115" s="485">
        <f t="shared" si="19"/>
        <v>748639.5</v>
      </c>
      <c r="H115" s="613">
        <f t="shared" si="13"/>
        <v>114548.77967867855</v>
      </c>
      <c r="I115" s="614">
        <f t="shared" si="14"/>
        <v>114548.77967867855</v>
      </c>
      <c r="J115" s="478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6"/>
        <v/>
      </c>
      <c r="C116" s="472">
        <f>IF(D93="","-",+C115+1)</f>
        <v>2038</v>
      </c>
      <c r="D116" s="346">
        <f>IF(F115+SUM(E$99:E115)=D$92,F115,D$92-SUM(E$99:E115))</f>
        <v>733960</v>
      </c>
      <c r="E116" s="484">
        <f t="shared" si="17"/>
        <v>29359</v>
      </c>
      <c r="F116" s="485">
        <f t="shared" si="18"/>
        <v>704601</v>
      </c>
      <c r="G116" s="485">
        <f t="shared" si="19"/>
        <v>719280.5</v>
      </c>
      <c r="H116" s="613">
        <f t="shared" si="13"/>
        <v>111207.9370680678</v>
      </c>
      <c r="I116" s="614">
        <f t="shared" si="14"/>
        <v>111207.9370680678</v>
      </c>
      <c r="J116" s="478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6"/>
        <v/>
      </c>
      <c r="C117" s="472">
        <f>IF(D93="","-",+C116+1)</f>
        <v>2039</v>
      </c>
      <c r="D117" s="346">
        <f>IF(F116+SUM(E$99:E116)=D$92,F116,D$92-SUM(E$99:E116))</f>
        <v>704601</v>
      </c>
      <c r="E117" s="484">
        <f t="shared" si="17"/>
        <v>29359</v>
      </c>
      <c r="F117" s="485">
        <f t="shared" si="18"/>
        <v>675242</v>
      </c>
      <c r="G117" s="485">
        <f t="shared" si="19"/>
        <v>689921.5</v>
      </c>
      <c r="H117" s="613">
        <f t="shared" si="13"/>
        <v>107867.09445745706</v>
      </c>
      <c r="I117" s="614">
        <f t="shared" si="14"/>
        <v>107867.09445745706</v>
      </c>
      <c r="J117" s="478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6"/>
        <v/>
      </c>
      <c r="C118" s="472">
        <f>IF(D93="","-",+C117+1)</f>
        <v>2040</v>
      </c>
      <c r="D118" s="346">
        <f>IF(F117+SUM(E$99:E117)=D$92,F117,D$92-SUM(E$99:E117))</f>
        <v>675242</v>
      </c>
      <c r="E118" s="484">
        <f t="shared" si="17"/>
        <v>29359</v>
      </c>
      <c r="F118" s="485">
        <f t="shared" si="18"/>
        <v>645883</v>
      </c>
      <c r="G118" s="485">
        <f t="shared" si="19"/>
        <v>660562.5</v>
      </c>
      <c r="H118" s="613">
        <f t="shared" si="13"/>
        <v>104526.25184684631</v>
      </c>
      <c r="I118" s="614">
        <f t="shared" si="14"/>
        <v>104526.25184684631</v>
      </c>
      <c r="J118" s="478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6"/>
        <v/>
      </c>
      <c r="C119" s="472">
        <f>IF(D93="","-",+C118+1)</f>
        <v>2041</v>
      </c>
      <c r="D119" s="346">
        <f>IF(F118+SUM(E$99:E118)=D$92,F118,D$92-SUM(E$99:E118))</f>
        <v>645883</v>
      </c>
      <c r="E119" s="484">
        <f t="shared" si="17"/>
        <v>29359</v>
      </c>
      <c r="F119" s="485">
        <f t="shared" si="18"/>
        <v>616524</v>
      </c>
      <c r="G119" s="485">
        <f t="shared" si="19"/>
        <v>631203.5</v>
      </c>
      <c r="H119" s="613">
        <f t="shared" si="13"/>
        <v>101185.40923623556</v>
      </c>
      <c r="I119" s="614">
        <f t="shared" si="14"/>
        <v>101185.40923623556</v>
      </c>
      <c r="J119" s="478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6"/>
        <v/>
      </c>
      <c r="C120" s="472">
        <f>IF(D93="","-",+C119+1)</f>
        <v>2042</v>
      </c>
      <c r="D120" s="346">
        <f>IF(F119+SUM(E$99:E119)=D$92,F119,D$92-SUM(E$99:E119))</f>
        <v>616524</v>
      </c>
      <c r="E120" s="484">
        <f t="shared" si="17"/>
        <v>29359</v>
      </c>
      <c r="F120" s="485">
        <f t="shared" si="18"/>
        <v>587165</v>
      </c>
      <c r="G120" s="485">
        <f t="shared" si="19"/>
        <v>601844.5</v>
      </c>
      <c r="H120" s="613">
        <f t="shared" si="13"/>
        <v>97844.566625624822</v>
      </c>
      <c r="I120" s="614">
        <f t="shared" si="14"/>
        <v>97844.566625624822</v>
      </c>
      <c r="J120" s="478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6"/>
        <v/>
      </c>
      <c r="C121" s="472">
        <f>IF(D93="","-",+C120+1)</f>
        <v>2043</v>
      </c>
      <c r="D121" s="346">
        <f>IF(F120+SUM(E$99:E120)=D$92,F120,D$92-SUM(E$99:E120))</f>
        <v>587165</v>
      </c>
      <c r="E121" s="484">
        <f t="shared" si="17"/>
        <v>29359</v>
      </c>
      <c r="F121" s="485">
        <f t="shared" si="18"/>
        <v>557806</v>
      </c>
      <c r="G121" s="485">
        <f t="shared" si="19"/>
        <v>572485.5</v>
      </c>
      <c r="H121" s="613">
        <f t="shared" si="13"/>
        <v>94503.724015014071</v>
      </c>
      <c r="I121" s="614">
        <f t="shared" si="14"/>
        <v>94503.724015014071</v>
      </c>
      <c r="J121" s="478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6"/>
        <v/>
      </c>
      <c r="C122" s="472">
        <f>IF(D93="","-",+C121+1)</f>
        <v>2044</v>
      </c>
      <c r="D122" s="346">
        <f>IF(F121+SUM(E$99:E121)=D$92,F121,D$92-SUM(E$99:E121))</f>
        <v>557806</v>
      </c>
      <c r="E122" s="484">
        <f t="shared" si="17"/>
        <v>29359</v>
      </c>
      <c r="F122" s="485">
        <f t="shared" si="18"/>
        <v>528447</v>
      </c>
      <c r="G122" s="485">
        <f t="shared" si="19"/>
        <v>543126.5</v>
      </c>
      <c r="H122" s="613">
        <f t="shared" si="13"/>
        <v>91162.881404403335</v>
      </c>
      <c r="I122" s="614">
        <f t="shared" si="14"/>
        <v>91162.881404403335</v>
      </c>
      <c r="J122" s="478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6"/>
        <v/>
      </c>
      <c r="C123" s="472">
        <f>IF(D93="","-",+C122+1)</f>
        <v>2045</v>
      </c>
      <c r="D123" s="346">
        <f>IF(F122+SUM(E$99:E122)=D$92,F122,D$92-SUM(E$99:E122))</f>
        <v>528447</v>
      </c>
      <c r="E123" s="484">
        <f t="shared" si="17"/>
        <v>29359</v>
      </c>
      <c r="F123" s="485">
        <f t="shared" si="18"/>
        <v>499088</v>
      </c>
      <c r="G123" s="485">
        <f t="shared" si="19"/>
        <v>513767.5</v>
      </c>
      <c r="H123" s="613">
        <f t="shared" si="13"/>
        <v>87822.038793792584</v>
      </c>
      <c r="I123" s="614">
        <f t="shared" si="14"/>
        <v>87822.038793792584</v>
      </c>
      <c r="J123" s="478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6"/>
        <v/>
      </c>
      <c r="C124" s="472">
        <f>IF(D93="","-",+C123+1)</f>
        <v>2046</v>
      </c>
      <c r="D124" s="346">
        <f>IF(F123+SUM(E$99:E123)=D$92,F123,D$92-SUM(E$99:E123))</f>
        <v>499088</v>
      </c>
      <c r="E124" s="484">
        <f t="shared" si="17"/>
        <v>29359</v>
      </c>
      <c r="F124" s="485">
        <f t="shared" si="18"/>
        <v>469729</v>
      </c>
      <c r="G124" s="485">
        <f t="shared" si="19"/>
        <v>484408.5</v>
      </c>
      <c r="H124" s="613">
        <f t="shared" si="13"/>
        <v>84481.196183181833</v>
      </c>
      <c r="I124" s="614">
        <f t="shared" si="14"/>
        <v>84481.196183181833</v>
      </c>
      <c r="J124" s="478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6"/>
        <v/>
      </c>
      <c r="C125" s="472">
        <f>IF(D93="","-",+C124+1)</f>
        <v>2047</v>
      </c>
      <c r="D125" s="346">
        <f>IF(F124+SUM(E$99:E124)=D$92,F124,D$92-SUM(E$99:E124))</f>
        <v>469729</v>
      </c>
      <c r="E125" s="484">
        <f t="shared" si="17"/>
        <v>29359</v>
      </c>
      <c r="F125" s="485">
        <f t="shared" si="18"/>
        <v>440370</v>
      </c>
      <c r="G125" s="485">
        <f t="shared" si="19"/>
        <v>455049.5</v>
      </c>
      <c r="H125" s="613">
        <f t="shared" si="13"/>
        <v>81140.353572571097</v>
      </c>
      <c r="I125" s="614">
        <f t="shared" si="14"/>
        <v>81140.353572571097</v>
      </c>
      <c r="J125" s="478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6"/>
        <v/>
      </c>
      <c r="C126" s="472">
        <f>IF(D93="","-",+C125+1)</f>
        <v>2048</v>
      </c>
      <c r="D126" s="346">
        <f>IF(F125+SUM(E$99:E125)=D$92,F125,D$92-SUM(E$99:E125))</f>
        <v>440370</v>
      </c>
      <c r="E126" s="484">
        <f t="shared" si="17"/>
        <v>29359</v>
      </c>
      <c r="F126" s="485">
        <f t="shared" si="18"/>
        <v>411011</v>
      </c>
      <c r="G126" s="485">
        <f t="shared" si="19"/>
        <v>425690.5</v>
      </c>
      <c r="H126" s="613">
        <f t="shared" si="13"/>
        <v>77799.510961960346</v>
      </c>
      <c r="I126" s="614">
        <f t="shared" si="14"/>
        <v>77799.510961960346</v>
      </c>
      <c r="J126" s="478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6"/>
        <v/>
      </c>
      <c r="C127" s="472">
        <f>IF(D93="","-",+C126+1)</f>
        <v>2049</v>
      </c>
      <c r="D127" s="346">
        <f>IF(F126+SUM(E$99:E126)=D$92,F126,D$92-SUM(E$99:E126))</f>
        <v>411011</v>
      </c>
      <c r="E127" s="484">
        <f t="shared" si="17"/>
        <v>29359</v>
      </c>
      <c r="F127" s="485">
        <f t="shared" si="18"/>
        <v>381652</v>
      </c>
      <c r="G127" s="485">
        <f t="shared" si="19"/>
        <v>396331.5</v>
      </c>
      <c r="H127" s="613">
        <f t="shared" si="13"/>
        <v>74458.668351349595</v>
      </c>
      <c r="I127" s="614">
        <f t="shared" si="14"/>
        <v>74458.668351349595</v>
      </c>
      <c r="J127" s="478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6"/>
        <v/>
      </c>
      <c r="C128" s="472">
        <f>IF(D93="","-",+C127+1)</f>
        <v>2050</v>
      </c>
      <c r="D128" s="346">
        <f>IF(F127+SUM(E$99:E127)=D$92,F127,D$92-SUM(E$99:E127))</f>
        <v>381652</v>
      </c>
      <c r="E128" s="484">
        <f t="shared" si="17"/>
        <v>29359</v>
      </c>
      <c r="F128" s="485">
        <f t="shared" si="18"/>
        <v>352293</v>
      </c>
      <c r="G128" s="485">
        <f t="shared" si="19"/>
        <v>366972.5</v>
      </c>
      <c r="H128" s="613">
        <f t="shared" si="13"/>
        <v>71117.825740738859</v>
      </c>
      <c r="I128" s="614">
        <f t="shared" si="14"/>
        <v>71117.825740738859</v>
      </c>
      <c r="J128" s="478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6"/>
        <v/>
      </c>
      <c r="C129" s="472">
        <f>IF(D93="","-",+C128+1)</f>
        <v>2051</v>
      </c>
      <c r="D129" s="346">
        <f>IF(F128+SUM(E$99:E128)=D$92,F128,D$92-SUM(E$99:E128))</f>
        <v>352293</v>
      </c>
      <c r="E129" s="484">
        <f t="shared" si="17"/>
        <v>29359</v>
      </c>
      <c r="F129" s="485">
        <f t="shared" si="18"/>
        <v>322934</v>
      </c>
      <c r="G129" s="485">
        <f t="shared" si="19"/>
        <v>337613.5</v>
      </c>
      <c r="H129" s="613">
        <f t="shared" si="13"/>
        <v>67776.983130128108</v>
      </c>
      <c r="I129" s="614">
        <f t="shared" si="14"/>
        <v>67776.983130128108</v>
      </c>
      <c r="J129" s="478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6"/>
        <v/>
      </c>
      <c r="C130" s="472">
        <f>IF(D93="","-",+C129+1)</f>
        <v>2052</v>
      </c>
      <c r="D130" s="346">
        <f>IF(F129+SUM(E$99:E129)=D$92,F129,D$92-SUM(E$99:E129))</f>
        <v>322934</v>
      </c>
      <c r="E130" s="484">
        <f t="shared" si="17"/>
        <v>29359</v>
      </c>
      <c r="F130" s="485">
        <f t="shared" si="18"/>
        <v>293575</v>
      </c>
      <c r="G130" s="485">
        <f t="shared" si="19"/>
        <v>308254.5</v>
      </c>
      <c r="H130" s="613">
        <f t="shared" si="13"/>
        <v>64436.140519517357</v>
      </c>
      <c r="I130" s="614">
        <f t="shared" si="14"/>
        <v>64436.140519517357</v>
      </c>
      <c r="J130" s="478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6"/>
        <v/>
      </c>
      <c r="C131" s="472">
        <f>IF(D93="","-",+C130+1)</f>
        <v>2053</v>
      </c>
      <c r="D131" s="346">
        <f>IF(F130+SUM(E$99:E130)=D$92,F130,D$92-SUM(E$99:E130))</f>
        <v>293575</v>
      </c>
      <c r="E131" s="484">
        <f t="shared" si="17"/>
        <v>29359</v>
      </c>
      <c r="F131" s="485">
        <f t="shared" si="18"/>
        <v>264216</v>
      </c>
      <c r="G131" s="485">
        <f t="shared" si="19"/>
        <v>278895.5</v>
      </c>
      <c r="H131" s="613">
        <f t="shared" si="13"/>
        <v>61095.297908906614</v>
      </c>
      <c r="I131" s="614">
        <f t="shared" si="14"/>
        <v>61095.297908906614</v>
      </c>
      <c r="J131" s="478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>
      <c r="B132" s="160" t="str">
        <f t="shared" si="16"/>
        <v/>
      </c>
      <c r="C132" s="472">
        <f>IF(D93="","-",+C131+1)</f>
        <v>2054</v>
      </c>
      <c r="D132" s="346">
        <f>IF(F131+SUM(E$99:E131)=D$92,F131,D$92-SUM(E$99:E131))</f>
        <v>264216</v>
      </c>
      <c r="E132" s="484">
        <f t="shared" si="17"/>
        <v>29359</v>
      </c>
      <c r="F132" s="485">
        <f t="shared" si="18"/>
        <v>234857</v>
      </c>
      <c r="G132" s="485">
        <f t="shared" si="19"/>
        <v>249536.5</v>
      </c>
      <c r="H132" s="613">
        <f t="shared" si="13"/>
        <v>57754.45529829587</v>
      </c>
      <c r="I132" s="614">
        <f t="shared" si="14"/>
        <v>57754.45529829587</v>
      </c>
      <c r="J132" s="478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>
      <c r="B133" s="160" t="str">
        <f t="shared" si="16"/>
        <v/>
      </c>
      <c r="C133" s="472">
        <f>IF(D93="","-",+C132+1)</f>
        <v>2055</v>
      </c>
      <c r="D133" s="346">
        <f>IF(F132+SUM(E$99:E132)=D$92,F132,D$92-SUM(E$99:E132))</f>
        <v>234857</v>
      </c>
      <c r="E133" s="484">
        <f t="shared" si="17"/>
        <v>29359</v>
      </c>
      <c r="F133" s="485">
        <f t="shared" si="18"/>
        <v>205498</v>
      </c>
      <c r="G133" s="485">
        <f t="shared" si="19"/>
        <v>220177.5</v>
      </c>
      <c r="H133" s="613">
        <f t="shared" si="13"/>
        <v>54413.612687685119</v>
      </c>
      <c r="I133" s="614">
        <f t="shared" si="14"/>
        <v>54413.612687685119</v>
      </c>
      <c r="J133" s="478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>
      <c r="B134" s="160" t="str">
        <f t="shared" si="16"/>
        <v/>
      </c>
      <c r="C134" s="472">
        <f>IF(D93="","-",+C133+1)</f>
        <v>2056</v>
      </c>
      <c r="D134" s="346">
        <f>IF(F133+SUM(E$99:E133)=D$92,F133,D$92-SUM(E$99:E133))</f>
        <v>205498</v>
      </c>
      <c r="E134" s="484">
        <f t="shared" si="17"/>
        <v>29359</v>
      </c>
      <c r="F134" s="485">
        <f t="shared" si="18"/>
        <v>176139</v>
      </c>
      <c r="G134" s="485">
        <f t="shared" si="19"/>
        <v>190818.5</v>
      </c>
      <c r="H134" s="613">
        <f t="shared" si="13"/>
        <v>51072.770077074376</v>
      </c>
      <c r="I134" s="614">
        <f t="shared" si="14"/>
        <v>51072.770077074376</v>
      </c>
      <c r="J134" s="478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>
      <c r="B135" s="160" t="str">
        <f t="shared" si="16"/>
        <v/>
      </c>
      <c r="C135" s="472">
        <f>IF(D93="","-",+C134+1)</f>
        <v>2057</v>
      </c>
      <c r="D135" s="346">
        <f>IF(F134+SUM(E$99:E134)=D$92,F134,D$92-SUM(E$99:E134))</f>
        <v>176139</v>
      </c>
      <c r="E135" s="484">
        <f t="shared" si="17"/>
        <v>29359</v>
      </c>
      <c r="F135" s="485">
        <f t="shared" si="18"/>
        <v>146780</v>
      </c>
      <c r="G135" s="485">
        <f t="shared" si="19"/>
        <v>161459.5</v>
      </c>
      <c r="H135" s="613">
        <f t="shared" si="13"/>
        <v>47731.927466463632</v>
      </c>
      <c r="I135" s="614">
        <f t="shared" si="14"/>
        <v>47731.927466463632</v>
      </c>
      <c r="J135" s="478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>
      <c r="B136" s="160" t="str">
        <f t="shared" si="16"/>
        <v/>
      </c>
      <c r="C136" s="472">
        <f>IF(D93="","-",+C135+1)</f>
        <v>2058</v>
      </c>
      <c r="D136" s="346">
        <f>IF(F135+SUM(E$99:E135)=D$92,F135,D$92-SUM(E$99:E135))</f>
        <v>146780</v>
      </c>
      <c r="E136" s="484">
        <f t="shared" si="17"/>
        <v>29359</v>
      </c>
      <c r="F136" s="485">
        <f t="shared" si="18"/>
        <v>117421</v>
      </c>
      <c r="G136" s="485">
        <f t="shared" si="19"/>
        <v>132100.5</v>
      </c>
      <c r="H136" s="613">
        <f t="shared" si="13"/>
        <v>44391.084855852881</v>
      </c>
      <c r="I136" s="614">
        <f t="shared" si="14"/>
        <v>44391.084855852881</v>
      </c>
      <c r="J136" s="478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>
      <c r="B137" s="160" t="str">
        <f t="shared" si="16"/>
        <v/>
      </c>
      <c r="C137" s="472">
        <f>IF(D93="","-",+C136+1)</f>
        <v>2059</v>
      </c>
      <c r="D137" s="346">
        <f>IF(F136+SUM(E$99:E136)=D$92,F136,D$92-SUM(E$99:E136))</f>
        <v>117421</v>
      </c>
      <c r="E137" s="484">
        <f t="shared" si="17"/>
        <v>29359</v>
      </c>
      <c r="F137" s="485">
        <f t="shared" si="18"/>
        <v>88062</v>
      </c>
      <c r="G137" s="485">
        <f t="shared" si="19"/>
        <v>102741.5</v>
      </c>
      <c r="H137" s="613">
        <f t="shared" si="13"/>
        <v>41050.242245242138</v>
      </c>
      <c r="I137" s="614">
        <f t="shared" si="14"/>
        <v>41050.242245242138</v>
      </c>
      <c r="J137" s="478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>
      <c r="B138" s="160" t="str">
        <f t="shared" si="16"/>
        <v/>
      </c>
      <c r="C138" s="472">
        <f>IF(D93="","-",+C137+1)</f>
        <v>2060</v>
      </c>
      <c r="D138" s="346">
        <f>IF(F137+SUM(E$99:E137)=D$92,F137,D$92-SUM(E$99:E137))</f>
        <v>88062</v>
      </c>
      <c r="E138" s="484">
        <f t="shared" si="17"/>
        <v>29359</v>
      </c>
      <c r="F138" s="485">
        <f t="shared" si="18"/>
        <v>58703</v>
      </c>
      <c r="G138" s="485">
        <f t="shared" si="19"/>
        <v>73382.5</v>
      </c>
      <c r="H138" s="613">
        <f t="shared" si="13"/>
        <v>37709.399634631394</v>
      </c>
      <c r="I138" s="614">
        <f t="shared" si="14"/>
        <v>37709.399634631394</v>
      </c>
      <c r="J138" s="478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>
      <c r="B139" s="160" t="str">
        <f t="shared" si="16"/>
        <v/>
      </c>
      <c r="C139" s="472">
        <f>IF(D93="","-",+C138+1)</f>
        <v>2061</v>
      </c>
      <c r="D139" s="346">
        <f>IF(F138+SUM(E$99:E138)=D$92,F138,D$92-SUM(E$99:E138))</f>
        <v>58703</v>
      </c>
      <c r="E139" s="484">
        <f t="shared" si="17"/>
        <v>29359</v>
      </c>
      <c r="F139" s="485">
        <f t="shared" si="18"/>
        <v>29344</v>
      </c>
      <c r="G139" s="485">
        <f t="shared" si="19"/>
        <v>44023.5</v>
      </c>
      <c r="H139" s="613">
        <f t="shared" si="13"/>
        <v>34368.557024020643</v>
      </c>
      <c r="I139" s="614">
        <f t="shared" si="14"/>
        <v>34368.557024020643</v>
      </c>
      <c r="J139" s="478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>
      <c r="B140" s="160" t="str">
        <f t="shared" si="16"/>
        <v/>
      </c>
      <c r="C140" s="472">
        <f>IF(D93="","-",+C139+1)</f>
        <v>2062</v>
      </c>
      <c r="D140" s="346">
        <f>IF(F139+SUM(E$99:E139)=D$92,F139,D$92-SUM(E$99:E139))</f>
        <v>29344</v>
      </c>
      <c r="E140" s="484">
        <f t="shared" si="17"/>
        <v>29344</v>
      </c>
      <c r="F140" s="485">
        <f t="shared" si="18"/>
        <v>0</v>
      </c>
      <c r="G140" s="485">
        <f t="shared" si="19"/>
        <v>14672</v>
      </c>
      <c r="H140" s="613">
        <f t="shared" si="13"/>
        <v>31013.567859357638</v>
      </c>
      <c r="I140" s="614">
        <f t="shared" si="14"/>
        <v>31013.567859357638</v>
      </c>
      <c r="J140" s="478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>
      <c r="B141" s="160" t="str">
        <f t="shared" si="16"/>
        <v/>
      </c>
      <c r="C141" s="472">
        <f>IF(D93="","-",+C140+1)</f>
        <v>2063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613">
        <f t="shared" si="13"/>
        <v>0</v>
      </c>
      <c r="I141" s="614">
        <f t="shared" si="14"/>
        <v>0</v>
      </c>
      <c r="J141" s="478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>
      <c r="B142" s="160" t="str">
        <f t="shared" si="16"/>
        <v/>
      </c>
      <c r="C142" s="472">
        <f>IF(D93="","-",+C141+1)</f>
        <v>2064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13"/>
        <v>0</v>
      </c>
      <c r="I142" s="614">
        <f t="shared" si="14"/>
        <v>0</v>
      </c>
      <c r="J142" s="478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>
      <c r="B143" s="160" t="str">
        <f t="shared" si="16"/>
        <v/>
      </c>
      <c r="C143" s="472">
        <f>IF(D93="","-",+C142+1)</f>
        <v>2065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13"/>
        <v>0</v>
      </c>
      <c r="I143" s="614">
        <f t="shared" si="14"/>
        <v>0</v>
      </c>
      <c r="J143" s="478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>
      <c r="B144" s="160" t="str">
        <f t="shared" si="16"/>
        <v/>
      </c>
      <c r="C144" s="472">
        <f>IF(D93="","-",+C143+1)</f>
        <v>2066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13"/>
        <v>0</v>
      </c>
      <c r="I144" s="614">
        <f t="shared" si="14"/>
        <v>0</v>
      </c>
      <c r="J144" s="478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>
      <c r="B145" s="160" t="str">
        <f t="shared" si="16"/>
        <v/>
      </c>
      <c r="C145" s="472">
        <f>IF(D93="","-",+C144+1)</f>
        <v>2067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13"/>
        <v>0</v>
      </c>
      <c r="I145" s="614">
        <f t="shared" si="14"/>
        <v>0</v>
      </c>
      <c r="J145" s="478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>
      <c r="B146" s="160" t="str">
        <f t="shared" si="16"/>
        <v/>
      </c>
      <c r="C146" s="472">
        <f>IF(D93="","-",+C145+1)</f>
        <v>2068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13"/>
        <v>0</v>
      </c>
      <c r="I146" s="614">
        <f t="shared" si="14"/>
        <v>0</v>
      </c>
      <c r="J146" s="478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>
      <c r="B147" s="160" t="str">
        <f t="shared" si="16"/>
        <v/>
      </c>
      <c r="C147" s="472">
        <f>IF(D93="","-",+C146+1)</f>
        <v>2069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13"/>
        <v>0</v>
      </c>
      <c r="I147" s="614">
        <f t="shared" si="14"/>
        <v>0</v>
      </c>
      <c r="J147" s="478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>
      <c r="B148" s="160" t="str">
        <f t="shared" si="16"/>
        <v/>
      </c>
      <c r="C148" s="472">
        <f>IF(D93="","-",+C147+1)</f>
        <v>2070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13"/>
        <v>0</v>
      </c>
      <c r="I148" s="614">
        <f t="shared" si="14"/>
        <v>0</v>
      </c>
      <c r="J148" s="478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>
      <c r="B149" s="160" t="str">
        <f t="shared" si="16"/>
        <v/>
      </c>
      <c r="C149" s="472">
        <f>IF(D93="","-",+C148+1)</f>
        <v>2071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13"/>
        <v>0</v>
      </c>
      <c r="I149" s="614">
        <f t="shared" si="14"/>
        <v>0</v>
      </c>
      <c r="J149" s="478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>
      <c r="B150" s="160" t="str">
        <f t="shared" si="16"/>
        <v/>
      </c>
      <c r="C150" s="472">
        <f>IF(D93="","-",+C149+1)</f>
        <v>2072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13"/>
        <v>0</v>
      </c>
      <c r="I150" s="614">
        <f t="shared" si="14"/>
        <v>0</v>
      </c>
      <c r="J150" s="478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>
      <c r="B151" s="160" t="str">
        <f t="shared" si="16"/>
        <v/>
      </c>
      <c r="C151" s="472">
        <f>IF(D93="","-",+C150+1)</f>
        <v>2073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13"/>
        <v>0</v>
      </c>
      <c r="I151" s="614">
        <f t="shared" si="14"/>
        <v>0</v>
      </c>
      <c r="J151" s="478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>
      <c r="B152" s="160" t="str">
        <f t="shared" si="16"/>
        <v/>
      </c>
      <c r="C152" s="472">
        <f>IF(D93="","-",+C151+1)</f>
        <v>2074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13"/>
        <v>0</v>
      </c>
      <c r="I152" s="614">
        <f t="shared" si="14"/>
        <v>0</v>
      </c>
      <c r="J152" s="478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>
      <c r="B153" s="160" t="str">
        <f t="shared" si="16"/>
        <v/>
      </c>
      <c r="C153" s="472">
        <f>IF(D93="","-",+C152+1)</f>
        <v>2075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13"/>
        <v>0</v>
      </c>
      <c r="I153" s="614">
        <f t="shared" si="14"/>
        <v>0</v>
      </c>
      <c r="J153" s="478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" thickBot="1">
      <c r="B154" s="160" t="str">
        <f t="shared" si="16"/>
        <v/>
      </c>
      <c r="C154" s="489">
        <f>IF(D93="","-",+C153+1)</f>
        <v>2076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13"/>
        <v>0</v>
      </c>
      <c r="I154" s="616">
        <f t="shared" si="14"/>
        <v>0</v>
      </c>
      <c r="J154" s="495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>
      <c r="C155" s="346" t="s">
        <v>77</v>
      </c>
      <c r="D155" s="347"/>
      <c r="E155" s="347">
        <f>SUM(E99:E154)</f>
        <v>1203704</v>
      </c>
      <c r="F155" s="347"/>
      <c r="G155" s="347"/>
      <c r="H155" s="347">
        <f>SUM(H99:H154)</f>
        <v>4080099.5051681385</v>
      </c>
      <c r="I155" s="347">
        <f>SUM(I99:I154)</f>
        <v>4080099.5051681385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62"/>
  <sheetViews>
    <sheetView zoomScale="80" zoomScaleNormal="80" workbookViewId="0"/>
  </sheetViews>
  <sheetFormatPr defaultColWidth="8.7265625" defaultRowHeight="12.5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30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261920.95465094032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261920.95465094032</v>
      </c>
      <c r="O6" s="232"/>
      <c r="P6" s="232"/>
    </row>
    <row r="7" spans="1:16" ht="13.5" thickBot="1">
      <c r="C7" s="431" t="s">
        <v>46</v>
      </c>
      <c r="D7" s="622" t="s">
        <v>371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6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372</v>
      </c>
      <c r="E9" s="623" t="s">
        <v>373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1865411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2021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11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47831.051282051281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2021</v>
      </c>
      <c r="D17" s="584">
        <v>0</v>
      </c>
      <c r="E17" s="585">
        <v>0</v>
      </c>
      <c r="F17" s="584">
        <v>1613510.2261904762</v>
      </c>
      <c r="G17" s="585">
        <v>0</v>
      </c>
      <c r="H17" s="587">
        <v>0</v>
      </c>
      <c r="I17" s="65">
        <f>H17-G17</f>
        <v>0</v>
      </c>
      <c r="J17" s="475"/>
      <c r="K17" s="554">
        <f>+G17</f>
        <v>0</v>
      </c>
      <c r="L17" s="477">
        <f t="shared" ref="L17:L72" si="0">IF(K17&lt;&gt;0,+G17-K17,0)</f>
        <v>0</v>
      </c>
      <c r="M17" s="554">
        <f>+H17</f>
        <v>0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2022</v>
      </c>
      <c r="D18" s="71">
        <f>IF(F17+SUM(E$17:E17)=D$10,F17,D$10-SUM(E$17:E17))</f>
        <v>1865411</v>
      </c>
      <c r="E18" s="69">
        <f>IF(+I$14&lt;F17,I$14,D18)</f>
        <v>47831.051282051281</v>
      </c>
      <c r="F18" s="68">
        <f>+D18-E18</f>
        <v>1817579.9487179487</v>
      </c>
      <c r="G18" s="70">
        <f>(D18+F18)/2*I$12+E18</f>
        <v>267630.01874077739</v>
      </c>
      <c r="H18" s="52">
        <f>+(D18+F18)/2*I$13+E18</f>
        <v>267630.01874077739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/>
      </c>
      <c r="C19" s="472">
        <f>IF(D11="","-",+C18+1)</f>
        <v>2023</v>
      </c>
      <c r="D19" s="71">
        <f>IF(F18+SUM(E$17:E18)=D$10,F18,D$10-SUM(E$17:E18))</f>
        <v>1817579.9487179487</v>
      </c>
      <c r="E19" s="69">
        <f t="shared" ref="E19:E71" si="4">IF(+I$14&lt;F18,I$14,D19)</f>
        <v>47831.051282051281</v>
      </c>
      <c r="F19" s="68">
        <f t="shared" ref="F19:F71" si="5">+D19-E19</f>
        <v>1769748.8974358975</v>
      </c>
      <c r="G19" s="70">
        <f t="shared" ref="G19:G71" si="6">(D19+F19)/2*I$12+E19</f>
        <v>261920.95465094032</v>
      </c>
      <c r="H19" s="52">
        <f t="shared" ref="H19:H71" si="7">+(D19+F19)/2*I$13+E19</f>
        <v>261920.95465094032</v>
      </c>
      <c r="I19" s="65">
        <f t="shared" ref="I19:I71" si="8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9">IF(D20=F19,"","IU")</f>
        <v/>
      </c>
      <c r="C20" s="472">
        <f>IF(D11="","-",+C19+1)</f>
        <v>2024</v>
      </c>
      <c r="D20" s="71">
        <f>IF(F19+SUM(E$17:E19)=D$10,F19,D$10-SUM(E$17:E19))</f>
        <v>1769748.8974358975</v>
      </c>
      <c r="E20" s="69">
        <f t="shared" si="4"/>
        <v>47831.051282051281</v>
      </c>
      <c r="F20" s="68">
        <f t="shared" si="5"/>
        <v>1721917.8461538462</v>
      </c>
      <c r="G20" s="70">
        <f t="shared" si="6"/>
        <v>256211.8905611033</v>
      </c>
      <c r="H20" s="52">
        <f t="shared" si="7"/>
        <v>256211.8905611033</v>
      </c>
      <c r="I20" s="65">
        <f t="shared" si="8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9"/>
        <v/>
      </c>
      <c r="C21" s="472">
        <f>IF(D11="","-",+C20+1)</f>
        <v>2025</v>
      </c>
      <c r="D21" s="71">
        <f>IF(F20+SUM(E$17:E20)=D$10,F20,D$10-SUM(E$17:E20))</f>
        <v>1721917.8461538462</v>
      </c>
      <c r="E21" s="69">
        <f t="shared" si="4"/>
        <v>47831.051282051281</v>
      </c>
      <c r="F21" s="68">
        <f t="shared" si="5"/>
        <v>1674086.794871795</v>
      </c>
      <c r="G21" s="70">
        <f t="shared" si="6"/>
        <v>250502.82647126625</v>
      </c>
      <c r="H21" s="52">
        <f t="shared" si="7"/>
        <v>250502.82647126625</v>
      </c>
      <c r="I21" s="65">
        <f t="shared" si="8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9"/>
        <v/>
      </c>
      <c r="C22" s="472">
        <f>IF(D11="","-",+C21+1)</f>
        <v>2026</v>
      </c>
      <c r="D22" s="71">
        <f>IF(F21+SUM(E$17:E21)=D$10,F21,D$10-SUM(E$17:E21))</f>
        <v>1674086.794871795</v>
      </c>
      <c r="E22" s="69">
        <f t="shared" si="4"/>
        <v>47831.051282051281</v>
      </c>
      <c r="F22" s="68">
        <f t="shared" si="5"/>
        <v>1626255.7435897437</v>
      </c>
      <c r="G22" s="70">
        <f t="shared" si="6"/>
        <v>244793.76238142923</v>
      </c>
      <c r="H22" s="52">
        <f t="shared" si="7"/>
        <v>244793.76238142923</v>
      </c>
      <c r="I22" s="65">
        <f t="shared" si="8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9"/>
        <v/>
      </c>
      <c r="C23" s="472">
        <f>IF(D11="","-",+C22+1)</f>
        <v>2027</v>
      </c>
      <c r="D23" s="71">
        <f>IF(F22+SUM(E$17:E22)=D$10,F22,D$10-SUM(E$17:E22))</f>
        <v>1626255.7435897437</v>
      </c>
      <c r="E23" s="69">
        <f t="shared" si="4"/>
        <v>47831.051282051281</v>
      </c>
      <c r="F23" s="68">
        <f t="shared" si="5"/>
        <v>1578424.6923076925</v>
      </c>
      <c r="G23" s="70">
        <f t="shared" si="6"/>
        <v>239084.69829159215</v>
      </c>
      <c r="H23" s="52">
        <f t="shared" si="7"/>
        <v>239084.69829159215</v>
      </c>
      <c r="I23" s="65">
        <f t="shared" si="8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9"/>
        <v/>
      </c>
      <c r="C24" s="472">
        <f>IF(D11="","-",+C23+1)</f>
        <v>2028</v>
      </c>
      <c r="D24" s="71">
        <f>IF(F23+SUM(E$17:E23)=D$10,F23,D$10-SUM(E$17:E23))</f>
        <v>1578424.6923076925</v>
      </c>
      <c r="E24" s="69">
        <f t="shared" si="4"/>
        <v>47831.051282051281</v>
      </c>
      <c r="F24" s="68">
        <f t="shared" si="5"/>
        <v>1530593.6410256412</v>
      </c>
      <c r="G24" s="70">
        <f t="shared" si="6"/>
        <v>233375.63420175517</v>
      </c>
      <c r="H24" s="52">
        <f t="shared" si="7"/>
        <v>233375.63420175517</v>
      </c>
      <c r="I24" s="65">
        <f t="shared" si="8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9"/>
        <v/>
      </c>
      <c r="C25" s="472">
        <f>IF(D11="","-",+C24+1)</f>
        <v>2029</v>
      </c>
      <c r="D25" s="71">
        <f>IF(F24+SUM(E$17:E24)=D$10,F24,D$10-SUM(E$17:E24))</f>
        <v>1530593.6410256412</v>
      </c>
      <c r="E25" s="69">
        <f t="shared" si="4"/>
        <v>47831.051282051281</v>
      </c>
      <c r="F25" s="68">
        <f t="shared" si="5"/>
        <v>1482762.58974359</v>
      </c>
      <c r="G25" s="70">
        <f t="shared" si="6"/>
        <v>227666.57011191809</v>
      </c>
      <c r="H25" s="52">
        <f t="shared" si="7"/>
        <v>227666.57011191809</v>
      </c>
      <c r="I25" s="65">
        <f t="shared" si="8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9"/>
        <v/>
      </c>
      <c r="C26" s="472">
        <f>IF(D11="","-",+C25+1)</f>
        <v>2030</v>
      </c>
      <c r="D26" s="71">
        <f>IF(F25+SUM(E$17:E25)=D$10,F25,D$10-SUM(E$17:E25))</f>
        <v>1482762.58974359</v>
      </c>
      <c r="E26" s="69">
        <f t="shared" si="4"/>
        <v>47831.051282051281</v>
      </c>
      <c r="F26" s="68">
        <f t="shared" si="5"/>
        <v>1434931.5384615387</v>
      </c>
      <c r="G26" s="70">
        <f t="shared" si="6"/>
        <v>221957.50602208107</v>
      </c>
      <c r="H26" s="52">
        <f t="shared" si="7"/>
        <v>221957.50602208107</v>
      </c>
      <c r="I26" s="65">
        <f t="shared" si="8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9"/>
        <v/>
      </c>
      <c r="C27" s="472">
        <f>IF(D11="","-",+C26+1)</f>
        <v>2031</v>
      </c>
      <c r="D27" s="71">
        <f>IF(F26+SUM(E$17:E26)=D$10,F26,D$10-SUM(E$17:E26))</f>
        <v>1434931.5384615387</v>
      </c>
      <c r="E27" s="69">
        <f t="shared" si="4"/>
        <v>47831.051282051281</v>
      </c>
      <c r="F27" s="68">
        <f t="shared" si="5"/>
        <v>1387100.4871794875</v>
      </c>
      <c r="G27" s="70">
        <f t="shared" si="6"/>
        <v>216248.44193224402</v>
      </c>
      <c r="H27" s="52">
        <f t="shared" si="7"/>
        <v>216248.44193224402</v>
      </c>
      <c r="I27" s="65">
        <f t="shared" si="8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9"/>
        <v/>
      </c>
      <c r="C28" s="472">
        <f>IF(D11="","-",+C27+1)</f>
        <v>2032</v>
      </c>
      <c r="D28" s="71">
        <f>IF(F27+SUM(E$17:E27)=D$10,F27,D$10-SUM(E$17:E27))</f>
        <v>1387100.4871794875</v>
      </c>
      <c r="E28" s="69">
        <f t="shared" si="4"/>
        <v>47831.051282051281</v>
      </c>
      <c r="F28" s="68">
        <f t="shared" si="5"/>
        <v>1339269.4358974362</v>
      </c>
      <c r="G28" s="70">
        <f t="shared" si="6"/>
        <v>210539.377842407</v>
      </c>
      <c r="H28" s="52">
        <f t="shared" si="7"/>
        <v>210539.377842407</v>
      </c>
      <c r="I28" s="65">
        <f t="shared" si="8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9"/>
        <v/>
      </c>
      <c r="C29" s="472">
        <f>IF(D11="","-",+C28+1)</f>
        <v>2033</v>
      </c>
      <c r="D29" s="71">
        <f>IF(F28+SUM(E$17:E28)=D$10,F28,D$10-SUM(E$17:E28))</f>
        <v>1339269.4358974362</v>
      </c>
      <c r="E29" s="69">
        <f t="shared" si="4"/>
        <v>47831.051282051281</v>
      </c>
      <c r="F29" s="68">
        <f t="shared" si="5"/>
        <v>1291438.384615385</v>
      </c>
      <c r="G29" s="70">
        <f t="shared" si="6"/>
        <v>204830.31375256996</v>
      </c>
      <c r="H29" s="52">
        <f t="shared" si="7"/>
        <v>204830.31375256996</v>
      </c>
      <c r="I29" s="65">
        <f t="shared" si="8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9"/>
        <v/>
      </c>
      <c r="C30" s="472">
        <f>IF(D11="","-",+C29+1)</f>
        <v>2034</v>
      </c>
      <c r="D30" s="71">
        <f>IF(F29+SUM(E$17:E29)=D$10,F29,D$10-SUM(E$17:E29))</f>
        <v>1291438.384615385</v>
      </c>
      <c r="E30" s="69">
        <f t="shared" si="4"/>
        <v>47831.051282051281</v>
      </c>
      <c r="F30" s="68">
        <f t="shared" si="5"/>
        <v>1243607.3333333337</v>
      </c>
      <c r="G30" s="70">
        <f t="shared" si="6"/>
        <v>199121.24966273294</v>
      </c>
      <c r="H30" s="52">
        <f t="shared" si="7"/>
        <v>199121.24966273294</v>
      </c>
      <c r="I30" s="65">
        <f t="shared" si="8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9"/>
        <v/>
      </c>
      <c r="C31" s="472">
        <f>IF(D11="","-",+C30+1)</f>
        <v>2035</v>
      </c>
      <c r="D31" s="71">
        <f>IF(F30+SUM(E$17:E30)=D$10,F30,D$10-SUM(E$17:E30))</f>
        <v>1243607.3333333337</v>
      </c>
      <c r="E31" s="69">
        <f t="shared" si="4"/>
        <v>47831.051282051281</v>
      </c>
      <c r="F31" s="68">
        <f t="shared" si="5"/>
        <v>1195776.2820512825</v>
      </c>
      <c r="G31" s="70">
        <f t="shared" si="6"/>
        <v>193412.18557289586</v>
      </c>
      <c r="H31" s="52">
        <f t="shared" si="7"/>
        <v>193412.18557289586</v>
      </c>
      <c r="I31" s="65">
        <f t="shared" si="8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9"/>
        <v/>
      </c>
      <c r="C32" s="472">
        <f>IF(D11="","-",+C31+1)</f>
        <v>2036</v>
      </c>
      <c r="D32" s="71">
        <f>IF(F31+SUM(E$17:E31)=D$10,F31,D$10-SUM(E$17:E31))</f>
        <v>1195776.2820512825</v>
      </c>
      <c r="E32" s="69">
        <f t="shared" si="4"/>
        <v>47831.051282051281</v>
      </c>
      <c r="F32" s="68">
        <f t="shared" si="5"/>
        <v>1147945.2307692312</v>
      </c>
      <c r="G32" s="70">
        <f t="shared" si="6"/>
        <v>187703.12148305884</v>
      </c>
      <c r="H32" s="52">
        <f t="shared" si="7"/>
        <v>187703.12148305884</v>
      </c>
      <c r="I32" s="65">
        <f t="shared" si="8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9"/>
        <v/>
      </c>
      <c r="C33" s="472">
        <f>IF(D11="","-",+C32+1)</f>
        <v>2037</v>
      </c>
      <c r="D33" s="71">
        <f>IF(F32+SUM(E$17:E32)=D$10,F32,D$10-SUM(E$17:E32))</f>
        <v>1147945.2307692312</v>
      </c>
      <c r="E33" s="69">
        <f t="shared" si="4"/>
        <v>47831.051282051281</v>
      </c>
      <c r="F33" s="68">
        <f t="shared" si="5"/>
        <v>1100114.17948718</v>
      </c>
      <c r="G33" s="70">
        <f t="shared" si="6"/>
        <v>181994.0573932218</v>
      </c>
      <c r="H33" s="52">
        <f t="shared" si="7"/>
        <v>181994.0573932218</v>
      </c>
      <c r="I33" s="65">
        <f t="shared" si="8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9"/>
        <v/>
      </c>
      <c r="C34" s="472">
        <f>IF(D11="","-",+C33+1)</f>
        <v>2038</v>
      </c>
      <c r="D34" s="71">
        <f>IF(F33+SUM(E$17:E33)=D$10,F33,D$10-SUM(E$17:E33))</f>
        <v>1100114.17948718</v>
      </c>
      <c r="E34" s="69">
        <f t="shared" si="4"/>
        <v>47831.051282051281</v>
      </c>
      <c r="F34" s="68">
        <f t="shared" si="5"/>
        <v>1052283.1282051287</v>
      </c>
      <c r="G34" s="70">
        <f t="shared" si="6"/>
        <v>176284.99330338478</v>
      </c>
      <c r="H34" s="52">
        <f t="shared" si="7"/>
        <v>176284.99330338478</v>
      </c>
      <c r="I34" s="65">
        <f t="shared" si="8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9"/>
        <v/>
      </c>
      <c r="C35" s="472">
        <f>IF(D11="","-",+C34+1)</f>
        <v>2039</v>
      </c>
      <c r="D35" s="71">
        <f>IF(F34+SUM(E$17:E34)=D$10,F34,D$10-SUM(E$17:E34))</f>
        <v>1052283.1282051287</v>
      </c>
      <c r="E35" s="69">
        <f t="shared" si="4"/>
        <v>47831.051282051281</v>
      </c>
      <c r="F35" s="68">
        <f t="shared" si="5"/>
        <v>1004452.0769230775</v>
      </c>
      <c r="G35" s="70">
        <f t="shared" si="6"/>
        <v>170575.92921354773</v>
      </c>
      <c r="H35" s="52">
        <f t="shared" si="7"/>
        <v>170575.92921354773</v>
      </c>
      <c r="I35" s="65">
        <f t="shared" si="8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9"/>
        <v/>
      </c>
      <c r="C36" s="472">
        <f>IF(D11="","-",+C35+1)</f>
        <v>2040</v>
      </c>
      <c r="D36" s="71">
        <f>IF(F35+SUM(E$17:E35)=D$10,F35,D$10-SUM(E$17:E35))</f>
        <v>1004452.0769230775</v>
      </c>
      <c r="E36" s="69">
        <f t="shared" si="4"/>
        <v>47831.051282051281</v>
      </c>
      <c r="F36" s="68">
        <f t="shared" si="5"/>
        <v>956621.02564102621</v>
      </c>
      <c r="G36" s="70">
        <f t="shared" si="6"/>
        <v>164866.86512371071</v>
      </c>
      <c r="H36" s="52">
        <f t="shared" si="7"/>
        <v>164866.86512371071</v>
      </c>
      <c r="I36" s="65">
        <f t="shared" si="8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9"/>
        <v/>
      </c>
      <c r="C37" s="472">
        <f>IF(D11="","-",+C36+1)</f>
        <v>2041</v>
      </c>
      <c r="D37" s="71">
        <f>IF(F36+SUM(E$17:E36)=D$10,F36,D$10-SUM(E$17:E36))</f>
        <v>956621.02564102621</v>
      </c>
      <c r="E37" s="69">
        <f t="shared" si="4"/>
        <v>47831.051282051281</v>
      </c>
      <c r="F37" s="68">
        <f t="shared" si="5"/>
        <v>908789.97435897496</v>
      </c>
      <c r="G37" s="70">
        <f t="shared" si="6"/>
        <v>159157.80103387363</v>
      </c>
      <c r="H37" s="52">
        <f t="shared" si="7"/>
        <v>159157.80103387363</v>
      </c>
      <c r="I37" s="65">
        <f t="shared" si="8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9"/>
        <v/>
      </c>
      <c r="C38" s="472">
        <f>IF(D11="","-",+C37+1)</f>
        <v>2042</v>
      </c>
      <c r="D38" s="71">
        <f>IF(F37+SUM(E$17:E37)=D$10,F37,D$10-SUM(E$17:E37))</f>
        <v>908789.97435897496</v>
      </c>
      <c r="E38" s="69">
        <f t="shared" si="4"/>
        <v>47831.051282051281</v>
      </c>
      <c r="F38" s="68">
        <f t="shared" si="5"/>
        <v>860958.9230769237</v>
      </c>
      <c r="G38" s="70">
        <f t="shared" si="6"/>
        <v>153448.73694403662</v>
      </c>
      <c r="H38" s="52">
        <f t="shared" si="7"/>
        <v>153448.73694403662</v>
      </c>
      <c r="I38" s="65">
        <f t="shared" si="8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9"/>
        <v/>
      </c>
      <c r="C39" s="472">
        <f>IF(D11="","-",+C38+1)</f>
        <v>2043</v>
      </c>
      <c r="D39" s="71">
        <f>IF(F38+SUM(E$17:E38)=D$10,F38,D$10-SUM(E$17:E38))</f>
        <v>860958.9230769237</v>
      </c>
      <c r="E39" s="69">
        <f t="shared" si="4"/>
        <v>47831.051282051281</v>
      </c>
      <c r="F39" s="68">
        <f t="shared" si="5"/>
        <v>813127.87179487245</v>
      </c>
      <c r="G39" s="70">
        <f t="shared" si="6"/>
        <v>147739.6728541996</v>
      </c>
      <c r="H39" s="52">
        <f t="shared" si="7"/>
        <v>147739.6728541996</v>
      </c>
      <c r="I39" s="65">
        <f t="shared" si="8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9"/>
        <v/>
      </c>
      <c r="C40" s="472">
        <f>IF(D11="","-",+C39+1)</f>
        <v>2044</v>
      </c>
      <c r="D40" s="71">
        <f>IF(F39+SUM(E$17:E39)=D$10,F39,D$10-SUM(E$17:E39))</f>
        <v>813127.87179487245</v>
      </c>
      <c r="E40" s="69">
        <f t="shared" si="4"/>
        <v>47831.051282051281</v>
      </c>
      <c r="F40" s="68">
        <f t="shared" si="5"/>
        <v>765296.8205128212</v>
      </c>
      <c r="G40" s="70">
        <f t="shared" si="6"/>
        <v>142030.60876436252</v>
      </c>
      <c r="H40" s="52">
        <f t="shared" si="7"/>
        <v>142030.60876436252</v>
      </c>
      <c r="I40" s="65">
        <f t="shared" si="8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9"/>
        <v/>
      </c>
      <c r="C41" s="472">
        <f>IF(D11="","-",+C40+1)</f>
        <v>2045</v>
      </c>
      <c r="D41" s="71">
        <f>IF(F40+SUM(E$17:E40)=D$10,F40,D$10-SUM(E$17:E40))</f>
        <v>765296.8205128212</v>
      </c>
      <c r="E41" s="69">
        <f t="shared" si="4"/>
        <v>47831.051282051281</v>
      </c>
      <c r="F41" s="68">
        <f t="shared" si="5"/>
        <v>717465.76923076995</v>
      </c>
      <c r="G41" s="70">
        <f t="shared" si="6"/>
        <v>136321.5446745255</v>
      </c>
      <c r="H41" s="52">
        <f t="shared" si="7"/>
        <v>136321.5446745255</v>
      </c>
      <c r="I41" s="65">
        <f t="shared" si="8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9"/>
        <v/>
      </c>
      <c r="C42" s="472">
        <f>IF(D11="","-",+C41+1)</f>
        <v>2046</v>
      </c>
      <c r="D42" s="71">
        <f>IF(F41+SUM(E$17:E41)=D$10,F41,D$10-SUM(E$17:E41))</f>
        <v>717465.76923076995</v>
      </c>
      <c r="E42" s="69">
        <f t="shared" si="4"/>
        <v>47831.051282051281</v>
      </c>
      <c r="F42" s="68">
        <f t="shared" si="5"/>
        <v>669634.71794871869</v>
      </c>
      <c r="G42" s="70">
        <f t="shared" si="6"/>
        <v>130612.48058468847</v>
      </c>
      <c r="H42" s="52">
        <f t="shared" si="7"/>
        <v>130612.48058468847</v>
      </c>
      <c r="I42" s="65">
        <f t="shared" si="8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9"/>
        <v/>
      </c>
      <c r="C43" s="472">
        <f>IF(D11="","-",+C42+1)</f>
        <v>2047</v>
      </c>
      <c r="D43" s="71">
        <f>IF(F42+SUM(E$17:E42)=D$10,F42,D$10-SUM(E$17:E42))</f>
        <v>669634.71794871869</v>
      </c>
      <c r="E43" s="69">
        <f t="shared" si="4"/>
        <v>47831.051282051281</v>
      </c>
      <c r="F43" s="68">
        <f t="shared" si="5"/>
        <v>621803.66666666744</v>
      </c>
      <c r="G43" s="70">
        <f t="shared" si="6"/>
        <v>124903.41649485142</v>
      </c>
      <c r="H43" s="52">
        <f t="shared" si="7"/>
        <v>124903.41649485142</v>
      </c>
      <c r="I43" s="65">
        <f t="shared" si="8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9"/>
        <v/>
      </c>
      <c r="C44" s="472">
        <f>IF(D11="","-",+C43+1)</f>
        <v>2048</v>
      </c>
      <c r="D44" s="71">
        <f>IF(F43+SUM(E$17:E43)=D$10,F43,D$10-SUM(E$17:E43))</f>
        <v>621803.66666666744</v>
      </c>
      <c r="E44" s="69">
        <f t="shared" si="4"/>
        <v>47831.051282051281</v>
      </c>
      <c r="F44" s="68">
        <f t="shared" si="5"/>
        <v>573972.61538461619</v>
      </c>
      <c r="G44" s="70">
        <f t="shared" si="6"/>
        <v>119194.35240501439</v>
      </c>
      <c r="H44" s="52">
        <f t="shared" si="7"/>
        <v>119194.35240501439</v>
      </c>
      <c r="I44" s="65">
        <f t="shared" si="8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9"/>
        <v/>
      </c>
      <c r="C45" s="472">
        <f>IF(D11="","-",+C44+1)</f>
        <v>2049</v>
      </c>
      <c r="D45" s="71">
        <f>IF(F44+SUM(E$17:E44)=D$10,F44,D$10-SUM(E$17:E44))</f>
        <v>573972.61538461619</v>
      </c>
      <c r="E45" s="69">
        <f t="shared" si="4"/>
        <v>47831.051282051281</v>
      </c>
      <c r="F45" s="68">
        <f t="shared" si="5"/>
        <v>526141.56410256494</v>
      </c>
      <c r="G45" s="70">
        <f t="shared" si="6"/>
        <v>113485.28831517736</v>
      </c>
      <c r="H45" s="52">
        <f t="shared" si="7"/>
        <v>113485.28831517736</v>
      </c>
      <c r="I45" s="65">
        <f t="shared" si="8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9"/>
        <v/>
      </c>
      <c r="C46" s="472">
        <f>IF(D11="","-",+C45+1)</f>
        <v>2050</v>
      </c>
      <c r="D46" s="71">
        <f>IF(F45+SUM(E$17:E45)=D$10,F45,D$10-SUM(E$17:E45))</f>
        <v>526141.56410256494</v>
      </c>
      <c r="E46" s="69">
        <f t="shared" si="4"/>
        <v>47831.051282051281</v>
      </c>
      <c r="F46" s="68">
        <f t="shared" si="5"/>
        <v>478310.51282051369</v>
      </c>
      <c r="G46" s="70">
        <f t="shared" si="6"/>
        <v>107776.22422534032</v>
      </c>
      <c r="H46" s="52">
        <f t="shared" si="7"/>
        <v>107776.22422534032</v>
      </c>
      <c r="I46" s="65">
        <f t="shared" si="8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9"/>
        <v/>
      </c>
      <c r="C47" s="472">
        <f>IF(D11="","-",+C46+1)</f>
        <v>2051</v>
      </c>
      <c r="D47" s="71">
        <f>IF(F46+SUM(E$17:E46)=D$10,F46,D$10-SUM(E$17:E46))</f>
        <v>478310.51282051369</v>
      </c>
      <c r="E47" s="69">
        <f t="shared" si="4"/>
        <v>47831.051282051281</v>
      </c>
      <c r="F47" s="68">
        <f t="shared" si="5"/>
        <v>430479.46153846243</v>
      </c>
      <c r="G47" s="70">
        <f t="shared" si="6"/>
        <v>102067.16013550328</v>
      </c>
      <c r="H47" s="52">
        <f t="shared" si="7"/>
        <v>102067.16013550328</v>
      </c>
      <c r="I47" s="65">
        <f t="shared" si="8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9"/>
        <v/>
      </c>
      <c r="C48" s="472">
        <f>IF(D11="","-",+C47+1)</f>
        <v>2052</v>
      </c>
      <c r="D48" s="71">
        <f>IF(F47+SUM(E$17:E47)=D$10,F47,D$10-SUM(E$17:E47))</f>
        <v>430479.46153846243</v>
      </c>
      <c r="E48" s="69">
        <f t="shared" si="4"/>
        <v>47831.051282051281</v>
      </c>
      <c r="F48" s="68">
        <f t="shared" si="5"/>
        <v>382648.41025641118</v>
      </c>
      <c r="G48" s="70">
        <f t="shared" si="6"/>
        <v>96358.096045666243</v>
      </c>
      <c r="H48" s="52">
        <f t="shared" si="7"/>
        <v>96358.096045666243</v>
      </c>
      <c r="I48" s="65">
        <f t="shared" si="8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9"/>
        <v/>
      </c>
      <c r="C49" s="472">
        <f>IF(D11="","-",+C48+1)</f>
        <v>2053</v>
      </c>
      <c r="D49" s="71">
        <f>IF(F48+SUM(E$17:E48)=D$10,F48,D$10-SUM(E$17:E48))</f>
        <v>382648.41025641118</v>
      </c>
      <c r="E49" s="69">
        <f t="shared" si="4"/>
        <v>47831.051282051281</v>
      </c>
      <c r="F49" s="68">
        <f t="shared" si="5"/>
        <v>334817.35897435993</v>
      </c>
      <c r="G49" s="70">
        <f t="shared" si="6"/>
        <v>90649.03195582921</v>
      </c>
      <c r="H49" s="52">
        <f t="shared" si="7"/>
        <v>90649.03195582921</v>
      </c>
      <c r="I49" s="65">
        <f t="shared" si="8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9"/>
        <v/>
      </c>
      <c r="C50" s="472">
        <f>IF(D11="","-",+C49+1)</f>
        <v>2054</v>
      </c>
      <c r="D50" s="71">
        <f>IF(F49+SUM(E$17:E49)=D$10,F49,D$10-SUM(E$17:E49))</f>
        <v>334817.35897435993</v>
      </c>
      <c r="E50" s="69">
        <f t="shared" si="4"/>
        <v>47831.051282051281</v>
      </c>
      <c r="F50" s="68">
        <f t="shared" si="5"/>
        <v>286986.30769230868</v>
      </c>
      <c r="G50" s="70">
        <f t="shared" si="6"/>
        <v>84939.967865992163</v>
      </c>
      <c r="H50" s="52">
        <f t="shared" si="7"/>
        <v>84939.967865992163</v>
      </c>
      <c r="I50" s="65">
        <f t="shared" si="8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9"/>
        <v/>
      </c>
      <c r="C51" s="472">
        <f>IF(D11="","-",+C50+1)</f>
        <v>2055</v>
      </c>
      <c r="D51" s="71">
        <f>IF(F50+SUM(E$17:E50)=D$10,F50,D$10-SUM(E$17:E50))</f>
        <v>286986.30769230868</v>
      </c>
      <c r="E51" s="69">
        <f t="shared" si="4"/>
        <v>47831.051282051281</v>
      </c>
      <c r="F51" s="68">
        <f t="shared" si="5"/>
        <v>239155.2564102574</v>
      </c>
      <c r="G51" s="70">
        <f t="shared" si="6"/>
        <v>79230.90377615513</v>
      </c>
      <c r="H51" s="52">
        <f t="shared" si="7"/>
        <v>79230.90377615513</v>
      </c>
      <c r="I51" s="65">
        <f t="shared" si="8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9"/>
        <v/>
      </c>
      <c r="C52" s="472">
        <f>IF(D11="","-",+C51+1)</f>
        <v>2056</v>
      </c>
      <c r="D52" s="71">
        <f>IF(F51+SUM(E$17:E51)=D$10,F51,D$10-SUM(E$17:E51))</f>
        <v>239155.2564102574</v>
      </c>
      <c r="E52" s="69">
        <f t="shared" si="4"/>
        <v>47831.051282051281</v>
      </c>
      <c r="F52" s="68">
        <f t="shared" si="5"/>
        <v>191324.20512820611</v>
      </c>
      <c r="G52" s="70">
        <f t="shared" si="6"/>
        <v>73521.839686318082</v>
      </c>
      <c r="H52" s="52">
        <f t="shared" si="7"/>
        <v>73521.839686318082</v>
      </c>
      <c r="I52" s="65">
        <f t="shared" si="8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9"/>
        <v/>
      </c>
      <c r="C53" s="472">
        <f>IF(D11="","-",+C52+1)</f>
        <v>2057</v>
      </c>
      <c r="D53" s="71">
        <f>IF(F52+SUM(E$17:E52)=D$10,F52,D$10-SUM(E$17:E52))</f>
        <v>191324.20512820611</v>
      </c>
      <c r="E53" s="69">
        <f t="shared" si="4"/>
        <v>47831.051282051281</v>
      </c>
      <c r="F53" s="68">
        <f t="shared" si="5"/>
        <v>143493.15384615483</v>
      </c>
      <c r="G53" s="70">
        <f t="shared" si="6"/>
        <v>67812.775596481049</v>
      </c>
      <c r="H53" s="52">
        <f t="shared" si="7"/>
        <v>67812.775596481049</v>
      </c>
      <c r="I53" s="65">
        <f t="shared" si="8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9"/>
        <v/>
      </c>
      <c r="C54" s="472">
        <f>IF(D11="","-",+C53+1)</f>
        <v>2058</v>
      </c>
      <c r="D54" s="71">
        <f>IF(F53+SUM(E$17:E53)=D$10,F53,D$10-SUM(E$17:E53))</f>
        <v>143493.15384615483</v>
      </c>
      <c r="E54" s="69">
        <f t="shared" si="4"/>
        <v>47831.051282051281</v>
      </c>
      <c r="F54" s="68">
        <f t="shared" si="5"/>
        <v>95662.102564103552</v>
      </c>
      <c r="G54" s="70">
        <f t="shared" si="6"/>
        <v>62103.711506644002</v>
      </c>
      <c r="H54" s="52">
        <f t="shared" si="7"/>
        <v>62103.711506644002</v>
      </c>
      <c r="I54" s="65">
        <f t="shared" si="8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9"/>
        <v/>
      </c>
      <c r="C55" s="472">
        <f>IF(D11="","-",+C54+1)</f>
        <v>2059</v>
      </c>
      <c r="D55" s="71">
        <f>IF(F54+SUM(E$17:E54)=D$10,F54,D$10-SUM(E$17:E54))</f>
        <v>95662.102564103552</v>
      </c>
      <c r="E55" s="69">
        <f t="shared" si="4"/>
        <v>47831.051282051281</v>
      </c>
      <c r="F55" s="68">
        <f t="shared" si="5"/>
        <v>47831.051282052271</v>
      </c>
      <c r="G55" s="70">
        <f t="shared" si="6"/>
        <v>56394.647416806962</v>
      </c>
      <c r="H55" s="52">
        <f t="shared" si="7"/>
        <v>56394.647416806962</v>
      </c>
      <c r="I55" s="65">
        <f t="shared" si="8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9"/>
        <v/>
      </c>
      <c r="C56" s="472">
        <f>IF(D11="","-",+C55+1)</f>
        <v>2060</v>
      </c>
      <c r="D56" s="71">
        <f>IF(F55+SUM(E$17:E55)=D$10,F55,D$10-SUM(E$17:E55))</f>
        <v>47831.051282052271</v>
      </c>
      <c r="E56" s="69">
        <f t="shared" si="4"/>
        <v>47831.051282051281</v>
      </c>
      <c r="F56" s="68">
        <f t="shared" si="5"/>
        <v>9.8953023552894592E-10</v>
      </c>
      <c r="G56" s="70">
        <f t="shared" si="6"/>
        <v>50685.583326969921</v>
      </c>
      <c r="H56" s="52">
        <f t="shared" si="7"/>
        <v>50685.583326969921</v>
      </c>
      <c r="I56" s="65">
        <f t="shared" si="8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9"/>
        <v/>
      </c>
      <c r="C57" s="472">
        <f>IF(D11="","-",+C56+1)</f>
        <v>2061</v>
      </c>
      <c r="D57" s="71">
        <f>IF(F56+SUM(E$17:E56)=D$10,F56,D$10-SUM(E$17:E56))</f>
        <v>9.8953023552894592E-10</v>
      </c>
      <c r="E57" s="69">
        <f t="shared" si="4"/>
        <v>9.8953023552894592E-10</v>
      </c>
      <c r="F57" s="68">
        <f t="shared" si="5"/>
        <v>0</v>
      </c>
      <c r="G57" s="70">
        <f t="shared" si="6"/>
        <v>1.0485848808068995E-9</v>
      </c>
      <c r="H57" s="52">
        <f t="shared" si="7"/>
        <v>1.0485848808068995E-9</v>
      </c>
      <c r="I57" s="65">
        <f t="shared" si="8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9"/>
        <v/>
      </c>
      <c r="C58" s="472">
        <f>IF(D11="","-",+C57+1)</f>
        <v>2062</v>
      </c>
      <c r="D58" s="71">
        <f>IF(F57+SUM(E$17:E57)=D$10,F57,D$10-SUM(E$17:E57))</f>
        <v>0</v>
      </c>
      <c r="E58" s="69">
        <f t="shared" si="4"/>
        <v>0</v>
      </c>
      <c r="F58" s="68">
        <f t="shared" si="5"/>
        <v>0</v>
      </c>
      <c r="G58" s="70">
        <f t="shared" si="6"/>
        <v>0</v>
      </c>
      <c r="H58" s="52">
        <f t="shared" si="7"/>
        <v>0</v>
      </c>
      <c r="I58" s="65">
        <f t="shared" si="8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9"/>
        <v/>
      </c>
      <c r="C59" s="472">
        <f>IF(D11="","-",+C58+1)</f>
        <v>2063</v>
      </c>
      <c r="D59" s="71">
        <f>IF(F58+SUM(E$17:E58)=D$10,F58,D$10-SUM(E$17:E58))</f>
        <v>0</v>
      </c>
      <c r="E59" s="69">
        <f t="shared" si="4"/>
        <v>0</v>
      </c>
      <c r="F59" s="68">
        <f t="shared" si="5"/>
        <v>0</v>
      </c>
      <c r="G59" s="70">
        <f t="shared" si="6"/>
        <v>0</v>
      </c>
      <c r="H59" s="52">
        <f t="shared" si="7"/>
        <v>0</v>
      </c>
      <c r="I59" s="65">
        <f t="shared" si="8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9"/>
        <v/>
      </c>
      <c r="C60" s="472">
        <f>IF(D11="","-",+C59+1)</f>
        <v>2064</v>
      </c>
      <c r="D60" s="71">
        <f>IF(F59+SUM(E$17:E59)=D$10,F59,D$10-SUM(E$17:E59))</f>
        <v>0</v>
      </c>
      <c r="E60" s="69">
        <f t="shared" si="4"/>
        <v>0</v>
      </c>
      <c r="F60" s="68">
        <f t="shared" si="5"/>
        <v>0</v>
      </c>
      <c r="G60" s="70">
        <f t="shared" si="6"/>
        <v>0</v>
      </c>
      <c r="H60" s="52">
        <f t="shared" si="7"/>
        <v>0</v>
      </c>
      <c r="I60" s="65">
        <f t="shared" si="8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9"/>
        <v/>
      </c>
      <c r="C61" s="472">
        <f>IF(D11="","-",+C60+1)</f>
        <v>2065</v>
      </c>
      <c r="D61" s="71">
        <f>IF(F60+SUM(E$17:E60)=D$10,F60,D$10-SUM(E$17:E60))</f>
        <v>0</v>
      </c>
      <c r="E61" s="69">
        <f t="shared" si="4"/>
        <v>0</v>
      </c>
      <c r="F61" s="68">
        <f t="shared" si="5"/>
        <v>0</v>
      </c>
      <c r="G61" s="70">
        <f t="shared" si="6"/>
        <v>0</v>
      </c>
      <c r="H61" s="52">
        <f t="shared" si="7"/>
        <v>0</v>
      </c>
      <c r="I61" s="65">
        <f t="shared" si="8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9"/>
        <v/>
      </c>
      <c r="C62" s="472">
        <f>IF(D11="","-",+C61+1)</f>
        <v>2066</v>
      </c>
      <c r="D62" s="71">
        <f>IF(F61+SUM(E$17:E61)=D$10,F61,D$10-SUM(E$17:E61))</f>
        <v>0</v>
      </c>
      <c r="E62" s="69">
        <f t="shared" si="4"/>
        <v>0</v>
      </c>
      <c r="F62" s="68">
        <f t="shared" si="5"/>
        <v>0</v>
      </c>
      <c r="G62" s="70">
        <f t="shared" si="6"/>
        <v>0</v>
      </c>
      <c r="H62" s="52">
        <f t="shared" si="7"/>
        <v>0</v>
      </c>
      <c r="I62" s="65">
        <f t="shared" si="8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9"/>
        <v/>
      </c>
      <c r="C63" s="472">
        <f>IF(D11="","-",+C62+1)</f>
        <v>2067</v>
      </c>
      <c r="D63" s="71">
        <f>IF(F62+SUM(E$17:E62)=D$10,F62,D$10-SUM(E$17:E62))</f>
        <v>0</v>
      </c>
      <c r="E63" s="69">
        <f t="shared" si="4"/>
        <v>0</v>
      </c>
      <c r="F63" s="68">
        <f t="shared" si="5"/>
        <v>0</v>
      </c>
      <c r="G63" s="70">
        <f t="shared" si="6"/>
        <v>0</v>
      </c>
      <c r="H63" s="52">
        <f t="shared" si="7"/>
        <v>0</v>
      </c>
      <c r="I63" s="65">
        <f t="shared" si="8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9"/>
        <v/>
      </c>
      <c r="C64" s="472">
        <f>IF(D11="","-",+C63+1)</f>
        <v>2068</v>
      </c>
      <c r="D64" s="71">
        <f>IF(F63+SUM(E$17:E63)=D$10,F63,D$10-SUM(E$17:E63))</f>
        <v>0</v>
      </c>
      <c r="E64" s="69">
        <f t="shared" si="4"/>
        <v>0</v>
      </c>
      <c r="F64" s="68">
        <f t="shared" si="5"/>
        <v>0</v>
      </c>
      <c r="G64" s="70">
        <f t="shared" si="6"/>
        <v>0</v>
      </c>
      <c r="H64" s="52">
        <f t="shared" si="7"/>
        <v>0</v>
      </c>
      <c r="I64" s="65">
        <f t="shared" si="8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9"/>
        <v/>
      </c>
      <c r="C65" s="472">
        <f>IF(D11="","-",+C64+1)</f>
        <v>2069</v>
      </c>
      <c r="D65" s="71">
        <f>IF(F64+SUM(E$17:E64)=D$10,F64,D$10-SUM(E$17:E64))</f>
        <v>0</v>
      </c>
      <c r="E65" s="69">
        <f t="shared" si="4"/>
        <v>0</v>
      </c>
      <c r="F65" s="68">
        <f t="shared" si="5"/>
        <v>0</v>
      </c>
      <c r="G65" s="70">
        <f t="shared" si="6"/>
        <v>0</v>
      </c>
      <c r="H65" s="52">
        <f t="shared" si="7"/>
        <v>0</v>
      </c>
      <c r="I65" s="65">
        <f t="shared" si="8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9"/>
        <v/>
      </c>
      <c r="C66" s="472">
        <f>IF(D11="","-",+C65+1)</f>
        <v>2070</v>
      </c>
      <c r="D66" s="71">
        <f>IF(F65+SUM(E$17:E65)=D$10,F65,D$10-SUM(E$17:E65))</f>
        <v>0</v>
      </c>
      <c r="E66" s="69">
        <f t="shared" si="4"/>
        <v>0</v>
      </c>
      <c r="F66" s="68">
        <f t="shared" si="5"/>
        <v>0</v>
      </c>
      <c r="G66" s="70">
        <f t="shared" si="6"/>
        <v>0</v>
      </c>
      <c r="H66" s="52">
        <f t="shared" si="7"/>
        <v>0</v>
      </c>
      <c r="I66" s="65">
        <f t="shared" si="8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9"/>
        <v/>
      </c>
      <c r="C67" s="472">
        <f>IF(D11="","-",+C66+1)</f>
        <v>2071</v>
      </c>
      <c r="D67" s="71">
        <f>IF(F66+SUM(E$17:E66)=D$10,F66,D$10-SUM(E$17:E66))</f>
        <v>0</v>
      </c>
      <c r="E67" s="69">
        <f t="shared" si="4"/>
        <v>0</v>
      </c>
      <c r="F67" s="68">
        <f t="shared" si="5"/>
        <v>0</v>
      </c>
      <c r="G67" s="70">
        <f t="shared" si="6"/>
        <v>0</v>
      </c>
      <c r="H67" s="52">
        <f t="shared" si="7"/>
        <v>0</v>
      </c>
      <c r="I67" s="65">
        <f t="shared" si="8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9"/>
        <v/>
      </c>
      <c r="C68" s="472">
        <f>IF(D11="","-",+C67+1)</f>
        <v>2072</v>
      </c>
      <c r="D68" s="71">
        <f>IF(F67+SUM(E$17:E67)=D$10,F67,D$10-SUM(E$17:E67))</f>
        <v>0</v>
      </c>
      <c r="E68" s="69">
        <f t="shared" si="4"/>
        <v>0</v>
      </c>
      <c r="F68" s="68">
        <f t="shared" si="5"/>
        <v>0</v>
      </c>
      <c r="G68" s="70">
        <f t="shared" si="6"/>
        <v>0</v>
      </c>
      <c r="H68" s="52">
        <f t="shared" si="7"/>
        <v>0</v>
      </c>
      <c r="I68" s="65">
        <f t="shared" si="8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9"/>
        <v/>
      </c>
      <c r="C69" s="472">
        <f>IF(D11="","-",+C68+1)</f>
        <v>2073</v>
      </c>
      <c r="D69" s="71">
        <f>IF(F68+SUM(E$17:E68)=D$10,F68,D$10-SUM(E$17:E68))</f>
        <v>0</v>
      </c>
      <c r="E69" s="69">
        <f t="shared" si="4"/>
        <v>0</v>
      </c>
      <c r="F69" s="68">
        <f t="shared" si="5"/>
        <v>0</v>
      </c>
      <c r="G69" s="70">
        <f t="shared" si="6"/>
        <v>0</v>
      </c>
      <c r="H69" s="52">
        <f t="shared" si="7"/>
        <v>0</v>
      </c>
      <c r="I69" s="65">
        <f t="shared" si="8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9"/>
        <v/>
      </c>
      <c r="C70" s="472">
        <f>IF(D11="","-",+C69+1)</f>
        <v>2074</v>
      </c>
      <c r="D70" s="71">
        <f>IF(F69+SUM(E$17:E69)=D$10,F69,D$10-SUM(E$17:E69))</f>
        <v>0</v>
      </c>
      <c r="E70" s="69">
        <f t="shared" si="4"/>
        <v>0</v>
      </c>
      <c r="F70" s="68">
        <f t="shared" si="5"/>
        <v>0</v>
      </c>
      <c r="G70" s="70">
        <f t="shared" si="6"/>
        <v>0</v>
      </c>
      <c r="H70" s="52">
        <f t="shared" si="7"/>
        <v>0</v>
      </c>
      <c r="I70" s="65">
        <f t="shared" si="8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9"/>
        <v/>
      </c>
      <c r="C71" s="472">
        <f>IF(D11="","-",+C70+1)</f>
        <v>2075</v>
      </c>
      <c r="D71" s="71">
        <f>IF(F70+SUM(E$17:E70)=D$10,F70,D$10-SUM(E$17:E70))</f>
        <v>0</v>
      </c>
      <c r="E71" s="69">
        <f t="shared" si="4"/>
        <v>0</v>
      </c>
      <c r="F71" s="68">
        <f t="shared" si="5"/>
        <v>0</v>
      </c>
      <c r="G71" s="70">
        <f t="shared" si="6"/>
        <v>0</v>
      </c>
      <c r="H71" s="52">
        <f t="shared" si="7"/>
        <v>0</v>
      </c>
      <c r="I71" s="65">
        <f t="shared" si="8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9"/>
        <v/>
      </c>
      <c r="C72" s="489">
        <f>IF(D11="","-",+C71+1)</f>
        <v>2076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1865411</v>
      </c>
      <c r="F73" s="347"/>
      <c r="G73" s="347">
        <f>SUM(G17:G72)</f>
        <v>6207154.2403210727</v>
      </c>
      <c r="H73" s="347">
        <f>SUM(H17:H72)</f>
        <v>6207154.2403210727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30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68486.42007157256</v>
      </c>
      <c r="N88" s="512">
        <f>IF(J92&lt;D11,0,VLOOKUP(J92,C99:P154,7))</f>
        <v>68486.42007157256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Tulsa SE - E 21st St Tap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68486.42007157256</v>
      </c>
      <c r="N89" s="517">
        <f>+N88-N87</f>
        <v>68486.42007157256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TP2020033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0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>
      <c r="C93" s="450" t="s">
        <v>53</v>
      </c>
      <c r="D93" s="525">
        <f>+D11</f>
        <v>2021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f>+D12</f>
        <v>11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0</v>
      </c>
      <c r="K96" s="347"/>
      <c r="L96" s="347"/>
      <c r="M96" s="347"/>
      <c r="N96" s="347"/>
      <c r="O96" s="347"/>
      <c r="P96" s="242"/>
    </row>
    <row r="97" spans="1:16" ht="39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2021</v>
      </c>
      <c r="D99" s="63">
        <v>0</v>
      </c>
      <c r="E99" s="70">
        <v>0</v>
      </c>
      <c r="F99" s="68">
        <v>1203704</v>
      </c>
      <c r="G99" s="97">
        <v>601852</v>
      </c>
      <c r="H99" s="97">
        <v>68486.42007157256</v>
      </c>
      <c r="I99" s="97">
        <v>68486.42007157256</v>
      </c>
      <c r="J99" s="67">
        <f>+I99-H99</f>
        <v>0</v>
      </c>
      <c r="K99" s="478"/>
      <c r="L99" s="477">
        <f>+H99</f>
        <v>68486.42007157256</v>
      </c>
      <c r="M99" s="477">
        <f t="shared" ref="M99:M130" si="10">IF(L99&lt;&gt;0,+H99-L99,0)</f>
        <v>0</v>
      </c>
      <c r="N99" s="477">
        <f>+I99</f>
        <v>68486.42007157256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>IU</v>
      </c>
      <c r="C100" s="472">
        <f>IF(D93="","-",+C99+1)</f>
        <v>2022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3">+J$94*G100+E100</f>
        <v>0</v>
      </c>
      <c r="I100" s="139">
        <f t="shared" ref="I100:I154" si="14">+J$95*G100+E100</f>
        <v>0</v>
      </c>
      <c r="J100" s="67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2023</v>
      </c>
      <c r="D101" s="63">
        <f>IF(F100+SUM(E$99:E100)=D$92,F100,D$92-SUM(E$99:E100))</f>
        <v>0</v>
      </c>
      <c r="E101" s="69">
        <f t="shared" ref="E101:E154" si="17">IF(+J$96&lt;F100,J$96,D101)</f>
        <v>0</v>
      </c>
      <c r="F101" s="68">
        <f t="shared" ref="F101:F154" si="18">+D101-E101</f>
        <v>0</v>
      </c>
      <c r="G101" s="68">
        <f t="shared" ref="G101:G154" si="19">+(F101+D101)/2</f>
        <v>0</v>
      </c>
      <c r="H101" s="130">
        <f t="shared" si="13"/>
        <v>0</v>
      </c>
      <c r="I101" s="139">
        <f t="shared" si="14"/>
        <v>0</v>
      </c>
      <c r="J101" s="67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6"/>
        <v/>
      </c>
      <c r="C102" s="472">
        <f>IF(D93="","-",+C101+1)</f>
        <v>2024</v>
      </c>
      <c r="D102" s="63">
        <f>IF(F101+SUM(E$99:E101)=D$92,F101,D$92-SUM(E$99:E101))</f>
        <v>0</v>
      </c>
      <c r="E102" s="69">
        <f t="shared" si="17"/>
        <v>0</v>
      </c>
      <c r="F102" s="68">
        <f t="shared" si="18"/>
        <v>0</v>
      </c>
      <c r="G102" s="68">
        <f t="shared" si="19"/>
        <v>0</v>
      </c>
      <c r="H102" s="130">
        <f t="shared" si="13"/>
        <v>0</v>
      </c>
      <c r="I102" s="139">
        <f t="shared" si="14"/>
        <v>0</v>
      </c>
      <c r="J102" s="67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6"/>
        <v/>
      </c>
      <c r="C103" s="472">
        <f>IF(D93="","-",+C102+1)</f>
        <v>2025</v>
      </c>
      <c r="D103" s="63">
        <f>IF(F102+SUM(E$99:E102)=D$92,F102,D$92-SUM(E$99:E102))</f>
        <v>0</v>
      </c>
      <c r="E103" s="69">
        <f t="shared" si="17"/>
        <v>0</v>
      </c>
      <c r="F103" s="68">
        <f t="shared" si="18"/>
        <v>0</v>
      </c>
      <c r="G103" s="68">
        <f t="shared" si="19"/>
        <v>0</v>
      </c>
      <c r="H103" s="130">
        <f t="shared" si="13"/>
        <v>0</v>
      </c>
      <c r="I103" s="139">
        <f t="shared" si="14"/>
        <v>0</v>
      </c>
      <c r="J103" s="67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6"/>
        <v/>
      </c>
      <c r="C104" s="472">
        <f>IF(D93="","-",+C103+1)</f>
        <v>2026</v>
      </c>
      <c r="D104" s="63">
        <f>IF(F103+SUM(E$99:E103)=D$92,F103,D$92-SUM(E$99:E103))</f>
        <v>0</v>
      </c>
      <c r="E104" s="69">
        <f t="shared" si="17"/>
        <v>0</v>
      </c>
      <c r="F104" s="68">
        <f t="shared" si="18"/>
        <v>0</v>
      </c>
      <c r="G104" s="68">
        <f t="shared" si="19"/>
        <v>0</v>
      </c>
      <c r="H104" s="130">
        <f t="shared" si="13"/>
        <v>0</v>
      </c>
      <c r="I104" s="139">
        <f t="shared" si="14"/>
        <v>0</v>
      </c>
      <c r="J104" s="67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6"/>
        <v/>
      </c>
      <c r="C105" s="472">
        <f>IF(D93="","-",+C104+1)</f>
        <v>2027</v>
      </c>
      <c r="D105" s="63">
        <f>IF(F104+SUM(E$99:E104)=D$92,F104,D$92-SUM(E$99:E104))</f>
        <v>0</v>
      </c>
      <c r="E105" s="69">
        <f t="shared" si="17"/>
        <v>0</v>
      </c>
      <c r="F105" s="68">
        <f t="shared" si="18"/>
        <v>0</v>
      </c>
      <c r="G105" s="68">
        <f t="shared" si="19"/>
        <v>0</v>
      </c>
      <c r="H105" s="130">
        <f t="shared" si="13"/>
        <v>0</v>
      </c>
      <c r="I105" s="139">
        <f t="shared" si="14"/>
        <v>0</v>
      </c>
      <c r="J105" s="67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6"/>
        <v/>
      </c>
      <c r="C106" s="472">
        <f>IF(D93="","-",+C105+1)</f>
        <v>2028</v>
      </c>
      <c r="D106" s="63">
        <f>IF(F105+SUM(E$99:E105)=D$92,F105,D$92-SUM(E$99:E105))</f>
        <v>0</v>
      </c>
      <c r="E106" s="69">
        <f t="shared" si="17"/>
        <v>0</v>
      </c>
      <c r="F106" s="68">
        <f t="shared" si="18"/>
        <v>0</v>
      </c>
      <c r="G106" s="68">
        <f t="shared" si="19"/>
        <v>0</v>
      </c>
      <c r="H106" s="130">
        <f t="shared" si="13"/>
        <v>0</v>
      </c>
      <c r="I106" s="139">
        <f t="shared" si="14"/>
        <v>0</v>
      </c>
      <c r="J106" s="67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6"/>
        <v/>
      </c>
      <c r="C107" s="472">
        <f>IF(D93="","-",+C106+1)</f>
        <v>2029</v>
      </c>
      <c r="D107" s="63">
        <f>IF(F106+SUM(E$99:E106)=D$92,F106,D$92-SUM(E$99:E106))</f>
        <v>0</v>
      </c>
      <c r="E107" s="69">
        <f t="shared" si="17"/>
        <v>0</v>
      </c>
      <c r="F107" s="68">
        <f t="shared" si="18"/>
        <v>0</v>
      </c>
      <c r="G107" s="68">
        <f t="shared" si="19"/>
        <v>0</v>
      </c>
      <c r="H107" s="130">
        <f t="shared" si="13"/>
        <v>0</v>
      </c>
      <c r="I107" s="139">
        <f t="shared" si="14"/>
        <v>0</v>
      </c>
      <c r="J107" s="67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6"/>
        <v/>
      </c>
      <c r="C108" s="472">
        <f>IF(D93="","-",+C107+1)</f>
        <v>2030</v>
      </c>
      <c r="D108" s="63">
        <f>IF(F107+SUM(E$99:E107)=D$92,F107,D$92-SUM(E$99:E107))</f>
        <v>0</v>
      </c>
      <c r="E108" s="69">
        <f t="shared" si="17"/>
        <v>0</v>
      </c>
      <c r="F108" s="68">
        <f t="shared" si="18"/>
        <v>0</v>
      </c>
      <c r="G108" s="68">
        <f t="shared" si="19"/>
        <v>0</v>
      </c>
      <c r="H108" s="130">
        <f t="shared" si="13"/>
        <v>0</v>
      </c>
      <c r="I108" s="139">
        <f t="shared" si="14"/>
        <v>0</v>
      </c>
      <c r="J108" s="67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6"/>
        <v/>
      </c>
      <c r="C109" s="472">
        <f>IF(D93="","-",+C108+1)</f>
        <v>2031</v>
      </c>
      <c r="D109" s="63">
        <f>IF(F108+SUM(E$99:E108)=D$92,F108,D$92-SUM(E$99:E108))</f>
        <v>0</v>
      </c>
      <c r="E109" s="69">
        <f t="shared" si="17"/>
        <v>0</v>
      </c>
      <c r="F109" s="68">
        <f t="shared" si="18"/>
        <v>0</v>
      </c>
      <c r="G109" s="68">
        <f t="shared" si="19"/>
        <v>0</v>
      </c>
      <c r="H109" s="130">
        <f t="shared" si="13"/>
        <v>0</v>
      </c>
      <c r="I109" s="139">
        <f t="shared" si="14"/>
        <v>0</v>
      </c>
      <c r="J109" s="67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6"/>
        <v/>
      </c>
      <c r="C110" s="472">
        <f>IF(D93="","-",+C109+1)</f>
        <v>2032</v>
      </c>
      <c r="D110" s="63">
        <f>IF(F109+SUM(E$99:E109)=D$92,F109,D$92-SUM(E$99:E109))</f>
        <v>0</v>
      </c>
      <c r="E110" s="69">
        <f t="shared" si="17"/>
        <v>0</v>
      </c>
      <c r="F110" s="68">
        <f t="shared" si="18"/>
        <v>0</v>
      </c>
      <c r="G110" s="68">
        <f t="shared" si="19"/>
        <v>0</v>
      </c>
      <c r="H110" s="130">
        <f t="shared" si="13"/>
        <v>0</v>
      </c>
      <c r="I110" s="139">
        <f t="shared" si="14"/>
        <v>0</v>
      </c>
      <c r="J110" s="67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6"/>
        <v/>
      </c>
      <c r="C111" s="472">
        <f>IF(D93="","-",+C110+1)</f>
        <v>2033</v>
      </c>
      <c r="D111" s="63">
        <f>IF(F110+SUM(E$99:E110)=D$92,F110,D$92-SUM(E$99:E110))</f>
        <v>0</v>
      </c>
      <c r="E111" s="69">
        <f t="shared" si="17"/>
        <v>0</v>
      </c>
      <c r="F111" s="68">
        <f t="shared" si="18"/>
        <v>0</v>
      </c>
      <c r="G111" s="68">
        <f t="shared" si="19"/>
        <v>0</v>
      </c>
      <c r="H111" s="130">
        <f t="shared" si="13"/>
        <v>0</v>
      </c>
      <c r="I111" s="139">
        <f t="shared" si="14"/>
        <v>0</v>
      </c>
      <c r="J111" s="67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6"/>
        <v/>
      </c>
      <c r="C112" s="472">
        <f>IF(D93="","-",+C111+1)</f>
        <v>2034</v>
      </c>
      <c r="D112" s="63">
        <f>IF(F111+SUM(E$99:E111)=D$92,F111,D$92-SUM(E$99:E111))</f>
        <v>0</v>
      </c>
      <c r="E112" s="69">
        <f t="shared" si="17"/>
        <v>0</v>
      </c>
      <c r="F112" s="68">
        <f t="shared" si="18"/>
        <v>0</v>
      </c>
      <c r="G112" s="68">
        <f t="shared" si="19"/>
        <v>0</v>
      </c>
      <c r="H112" s="130">
        <f t="shared" si="13"/>
        <v>0</v>
      </c>
      <c r="I112" s="139">
        <f t="shared" si="14"/>
        <v>0</v>
      </c>
      <c r="J112" s="67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6"/>
        <v/>
      </c>
      <c r="C113" s="472">
        <f>IF(D93="","-",+C112+1)</f>
        <v>2035</v>
      </c>
      <c r="D113" s="63">
        <f>IF(F112+SUM(E$99:E112)=D$92,F112,D$92-SUM(E$99:E112))</f>
        <v>0</v>
      </c>
      <c r="E113" s="69">
        <f t="shared" si="17"/>
        <v>0</v>
      </c>
      <c r="F113" s="68">
        <f t="shared" si="18"/>
        <v>0</v>
      </c>
      <c r="G113" s="68">
        <f t="shared" si="19"/>
        <v>0</v>
      </c>
      <c r="H113" s="130">
        <f t="shared" si="13"/>
        <v>0</v>
      </c>
      <c r="I113" s="139">
        <f t="shared" si="14"/>
        <v>0</v>
      </c>
      <c r="J113" s="67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6"/>
        <v/>
      </c>
      <c r="C114" s="472">
        <f>IF(D93="","-",+C113+1)</f>
        <v>2036</v>
      </c>
      <c r="D114" s="63">
        <f>IF(F113+SUM(E$99:E113)=D$92,F113,D$92-SUM(E$99:E113))</f>
        <v>0</v>
      </c>
      <c r="E114" s="69">
        <f t="shared" si="17"/>
        <v>0</v>
      </c>
      <c r="F114" s="68">
        <f t="shared" si="18"/>
        <v>0</v>
      </c>
      <c r="G114" s="68">
        <f t="shared" si="19"/>
        <v>0</v>
      </c>
      <c r="H114" s="130">
        <f t="shared" si="13"/>
        <v>0</v>
      </c>
      <c r="I114" s="139">
        <f t="shared" si="14"/>
        <v>0</v>
      </c>
      <c r="J114" s="67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6"/>
        <v/>
      </c>
      <c r="C115" s="472">
        <f>IF(D93="","-",+C114+1)</f>
        <v>2037</v>
      </c>
      <c r="D115" s="63">
        <f>IF(F114+SUM(E$99:E114)=D$92,F114,D$92-SUM(E$99:E114))</f>
        <v>0</v>
      </c>
      <c r="E115" s="69">
        <f t="shared" si="17"/>
        <v>0</v>
      </c>
      <c r="F115" s="68">
        <f t="shared" si="18"/>
        <v>0</v>
      </c>
      <c r="G115" s="68">
        <f t="shared" si="19"/>
        <v>0</v>
      </c>
      <c r="H115" s="130">
        <f t="shared" si="13"/>
        <v>0</v>
      </c>
      <c r="I115" s="139">
        <f t="shared" si="14"/>
        <v>0</v>
      </c>
      <c r="J115" s="67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6"/>
        <v/>
      </c>
      <c r="C116" s="472">
        <f>IF(D93="","-",+C115+1)</f>
        <v>2038</v>
      </c>
      <c r="D116" s="63">
        <f>IF(F115+SUM(E$99:E115)=D$92,F115,D$92-SUM(E$99:E115))</f>
        <v>0</v>
      </c>
      <c r="E116" s="69">
        <f t="shared" si="17"/>
        <v>0</v>
      </c>
      <c r="F116" s="68">
        <f t="shared" si="18"/>
        <v>0</v>
      </c>
      <c r="G116" s="68">
        <f t="shared" si="19"/>
        <v>0</v>
      </c>
      <c r="H116" s="130">
        <f t="shared" si="13"/>
        <v>0</v>
      </c>
      <c r="I116" s="139">
        <f t="shared" si="14"/>
        <v>0</v>
      </c>
      <c r="J116" s="67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6"/>
        <v/>
      </c>
      <c r="C117" s="472">
        <f>IF(D93="","-",+C116+1)</f>
        <v>2039</v>
      </c>
      <c r="D117" s="63">
        <f>IF(F116+SUM(E$99:E116)=D$92,F116,D$92-SUM(E$99:E116))</f>
        <v>0</v>
      </c>
      <c r="E117" s="69">
        <f t="shared" si="17"/>
        <v>0</v>
      </c>
      <c r="F117" s="68">
        <f t="shared" si="18"/>
        <v>0</v>
      </c>
      <c r="G117" s="68">
        <f t="shared" si="19"/>
        <v>0</v>
      </c>
      <c r="H117" s="130">
        <f t="shared" si="13"/>
        <v>0</v>
      </c>
      <c r="I117" s="139">
        <f t="shared" si="14"/>
        <v>0</v>
      </c>
      <c r="J117" s="67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6"/>
        <v/>
      </c>
      <c r="C118" s="472">
        <f>IF(D93="","-",+C117+1)</f>
        <v>2040</v>
      </c>
      <c r="D118" s="63">
        <f>IF(F117+SUM(E$99:E117)=D$92,F117,D$92-SUM(E$99:E117))</f>
        <v>0</v>
      </c>
      <c r="E118" s="69">
        <f t="shared" si="17"/>
        <v>0</v>
      </c>
      <c r="F118" s="68">
        <f t="shared" si="18"/>
        <v>0</v>
      </c>
      <c r="G118" s="68">
        <f t="shared" si="19"/>
        <v>0</v>
      </c>
      <c r="H118" s="130">
        <f t="shared" si="13"/>
        <v>0</v>
      </c>
      <c r="I118" s="139">
        <f t="shared" si="14"/>
        <v>0</v>
      </c>
      <c r="J118" s="67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6"/>
        <v/>
      </c>
      <c r="C119" s="472">
        <f>IF(D93="","-",+C118+1)</f>
        <v>2041</v>
      </c>
      <c r="D119" s="63">
        <f>IF(F118+SUM(E$99:E118)=D$92,F118,D$92-SUM(E$99:E118))</f>
        <v>0</v>
      </c>
      <c r="E119" s="69">
        <f t="shared" si="17"/>
        <v>0</v>
      </c>
      <c r="F119" s="68">
        <f t="shared" si="18"/>
        <v>0</v>
      </c>
      <c r="G119" s="68">
        <f t="shared" si="19"/>
        <v>0</v>
      </c>
      <c r="H119" s="130">
        <f t="shared" si="13"/>
        <v>0</v>
      </c>
      <c r="I119" s="139">
        <f t="shared" si="14"/>
        <v>0</v>
      </c>
      <c r="J119" s="67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6"/>
        <v/>
      </c>
      <c r="C120" s="472">
        <f>IF(D93="","-",+C119+1)</f>
        <v>2042</v>
      </c>
      <c r="D120" s="63">
        <f>IF(F119+SUM(E$99:E119)=D$92,F119,D$92-SUM(E$99:E119))</f>
        <v>0</v>
      </c>
      <c r="E120" s="69">
        <f t="shared" si="17"/>
        <v>0</v>
      </c>
      <c r="F120" s="68">
        <f t="shared" si="18"/>
        <v>0</v>
      </c>
      <c r="G120" s="68">
        <f t="shared" si="19"/>
        <v>0</v>
      </c>
      <c r="H120" s="130">
        <f t="shared" si="13"/>
        <v>0</v>
      </c>
      <c r="I120" s="139">
        <f t="shared" si="14"/>
        <v>0</v>
      </c>
      <c r="J120" s="67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6"/>
        <v/>
      </c>
      <c r="C121" s="472">
        <f>IF(D93="","-",+C120+1)</f>
        <v>2043</v>
      </c>
      <c r="D121" s="63">
        <f>IF(F120+SUM(E$99:E120)=D$92,F120,D$92-SUM(E$99:E120))</f>
        <v>0</v>
      </c>
      <c r="E121" s="69">
        <f t="shared" si="17"/>
        <v>0</v>
      </c>
      <c r="F121" s="68">
        <f t="shared" si="18"/>
        <v>0</v>
      </c>
      <c r="G121" s="68">
        <f t="shared" si="19"/>
        <v>0</v>
      </c>
      <c r="H121" s="130">
        <f t="shared" si="13"/>
        <v>0</v>
      </c>
      <c r="I121" s="139">
        <f t="shared" si="14"/>
        <v>0</v>
      </c>
      <c r="J121" s="67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6"/>
        <v/>
      </c>
      <c r="C122" s="472">
        <f>IF(D93="","-",+C121+1)</f>
        <v>2044</v>
      </c>
      <c r="D122" s="63">
        <f>IF(F121+SUM(E$99:E121)=D$92,F121,D$92-SUM(E$99:E121))</f>
        <v>0</v>
      </c>
      <c r="E122" s="69">
        <f t="shared" si="17"/>
        <v>0</v>
      </c>
      <c r="F122" s="68">
        <f t="shared" si="18"/>
        <v>0</v>
      </c>
      <c r="G122" s="68">
        <f t="shared" si="19"/>
        <v>0</v>
      </c>
      <c r="H122" s="130">
        <f t="shared" si="13"/>
        <v>0</v>
      </c>
      <c r="I122" s="139">
        <f t="shared" si="14"/>
        <v>0</v>
      </c>
      <c r="J122" s="67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6"/>
        <v/>
      </c>
      <c r="C123" s="472">
        <f>IF(D93="","-",+C122+1)</f>
        <v>2045</v>
      </c>
      <c r="D123" s="63">
        <f>IF(F122+SUM(E$99:E122)=D$92,F122,D$92-SUM(E$99:E122))</f>
        <v>0</v>
      </c>
      <c r="E123" s="69">
        <f t="shared" si="17"/>
        <v>0</v>
      </c>
      <c r="F123" s="68">
        <f t="shared" si="18"/>
        <v>0</v>
      </c>
      <c r="G123" s="68">
        <f t="shared" si="19"/>
        <v>0</v>
      </c>
      <c r="H123" s="130">
        <f t="shared" si="13"/>
        <v>0</v>
      </c>
      <c r="I123" s="139">
        <f t="shared" si="14"/>
        <v>0</v>
      </c>
      <c r="J123" s="67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6"/>
        <v/>
      </c>
      <c r="C124" s="472">
        <f>IF(D93="","-",+C123+1)</f>
        <v>2046</v>
      </c>
      <c r="D124" s="63">
        <f>IF(F123+SUM(E$99:E123)=D$92,F123,D$92-SUM(E$99:E123))</f>
        <v>0</v>
      </c>
      <c r="E124" s="69">
        <f t="shared" si="17"/>
        <v>0</v>
      </c>
      <c r="F124" s="68">
        <f t="shared" si="18"/>
        <v>0</v>
      </c>
      <c r="G124" s="68">
        <f t="shared" si="19"/>
        <v>0</v>
      </c>
      <c r="H124" s="130">
        <f t="shared" si="13"/>
        <v>0</v>
      </c>
      <c r="I124" s="139">
        <f t="shared" si="14"/>
        <v>0</v>
      </c>
      <c r="J124" s="67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6"/>
        <v/>
      </c>
      <c r="C125" s="472">
        <f>IF(D93="","-",+C124+1)</f>
        <v>2047</v>
      </c>
      <c r="D125" s="63">
        <f>IF(F124+SUM(E$99:E124)=D$92,F124,D$92-SUM(E$99:E124))</f>
        <v>0</v>
      </c>
      <c r="E125" s="69">
        <f t="shared" si="17"/>
        <v>0</v>
      </c>
      <c r="F125" s="68">
        <f t="shared" si="18"/>
        <v>0</v>
      </c>
      <c r="G125" s="68">
        <f t="shared" si="19"/>
        <v>0</v>
      </c>
      <c r="H125" s="130">
        <f t="shared" si="13"/>
        <v>0</v>
      </c>
      <c r="I125" s="139">
        <f t="shared" si="14"/>
        <v>0</v>
      </c>
      <c r="J125" s="67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6"/>
        <v/>
      </c>
      <c r="C126" s="472">
        <f>IF(D93="","-",+C125+1)</f>
        <v>2048</v>
      </c>
      <c r="D126" s="63">
        <f>IF(F125+SUM(E$99:E125)=D$92,F125,D$92-SUM(E$99:E125))</f>
        <v>0</v>
      </c>
      <c r="E126" s="69">
        <f t="shared" si="17"/>
        <v>0</v>
      </c>
      <c r="F126" s="68">
        <f t="shared" si="18"/>
        <v>0</v>
      </c>
      <c r="G126" s="68">
        <f t="shared" si="19"/>
        <v>0</v>
      </c>
      <c r="H126" s="130">
        <f t="shared" si="13"/>
        <v>0</v>
      </c>
      <c r="I126" s="139">
        <f t="shared" si="14"/>
        <v>0</v>
      </c>
      <c r="J126" s="67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6"/>
        <v/>
      </c>
      <c r="C127" s="472">
        <f>IF(D93="","-",+C126+1)</f>
        <v>2049</v>
      </c>
      <c r="D127" s="63">
        <f>IF(F126+SUM(E$99:E126)=D$92,F126,D$92-SUM(E$99:E126))</f>
        <v>0</v>
      </c>
      <c r="E127" s="69">
        <f t="shared" si="17"/>
        <v>0</v>
      </c>
      <c r="F127" s="68">
        <f t="shared" si="18"/>
        <v>0</v>
      </c>
      <c r="G127" s="68">
        <f t="shared" si="19"/>
        <v>0</v>
      </c>
      <c r="H127" s="130">
        <f t="shared" si="13"/>
        <v>0</v>
      </c>
      <c r="I127" s="139">
        <f t="shared" si="14"/>
        <v>0</v>
      </c>
      <c r="J127" s="67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6"/>
        <v/>
      </c>
      <c r="C128" s="472">
        <f>IF(D93="","-",+C127+1)</f>
        <v>2050</v>
      </c>
      <c r="D128" s="63">
        <f>IF(F127+SUM(E$99:E127)=D$92,F127,D$92-SUM(E$99:E127))</f>
        <v>0</v>
      </c>
      <c r="E128" s="69">
        <f t="shared" si="17"/>
        <v>0</v>
      </c>
      <c r="F128" s="68">
        <f t="shared" si="18"/>
        <v>0</v>
      </c>
      <c r="G128" s="68">
        <f t="shared" si="19"/>
        <v>0</v>
      </c>
      <c r="H128" s="130">
        <f t="shared" si="13"/>
        <v>0</v>
      </c>
      <c r="I128" s="139">
        <f t="shared" si="14"/>
        <v>0</v>
      </c>
      <c r="J128" s="67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6"/>
        <v/>
      </c>
      <c r="C129" s="472">
        <f>IF(D93="","-",+C128+1)</f>
        <v>2051</v>
      </c>
      <c r="D129" s="63">
        <f>IF(F128+SUM(E$99:E128)=D$92,F128,D$92-SUM(E$99:E128))</f>
        <v>0</v>
      </c>
      <c r="E129" s="69">
        <f t="shared" si="17"/>
        <v>0</v>
      </c>
      <c r="F129" s="68">
        <f t="shared" si="18"/>
        <v>0</v>
      </c>
      <c r="G129" s="68">
        <f t="shared" si="19"/>
        <v>0</v>
      </c>
      <c r="H129" s="130">
        <f t="shared" si="13"/>
        <v>0</v>
      </c>
      <c r="I129" s="139">
        <f t="shared" si="14"/>
        <v>0</v>
      </c>
      <c r="J129" s="67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6"/>
        <v/>
      </c>
      <c r="C130" s="472">
        <f>IF(D93="","-",+C129+1)</f>
        <v>2052</v>
      </c>
      <c r="D130" s="63">
        <f>IF(F129+SUM(E$99:E129)=D$92,F129,D$92-SUM(E$99:E129))</f>
        <v>0</v>
      </c>
      <c r="E130" s="69">
        <f t="shared" si="17"/>
        <v>0</v>
      </c>
      <c r="F130" s="68">
        <f t="shared" si="18"/>
        <v>0</v>
      </c>
      <c r="G130" s="68">
        <f t="shared" si="19"/>
        <v>0</v>
      </c>
      <c r="H130" s="130">
        <f t="shared" si="13"/>
        <v>0</v>
      </c>
      <c r="I130" s="139">
        <f t="shared" si="14"/>
        <v>0</v>
      </c>
      <c r="J130" s="67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6"/>
        <v/>
      </c>
      <c r="C131" s="472">
        <f>IF(D93="","-",+C130+1)</f>
        <v>2053</v>
      </c>
      <c r="D131" s="63">
        <f>IF(F130+SUM(E$99:E130)=D$92,F130,D$92-SUM(E$99:E130))</f>
        <v>0</v>
      </c>
      <c r="E131" s="69">
        <f t="shared" si="17"/>
        <v>0</v>
      </c>
      <c r="F131" s="68">
        <f t="shared" si="18"/>
        <v>0</v>
      </c>
      <c r="G131" s="68">
        <f t="shared" si="19"/>
        <v>0</v>
      </c>
      <c r="H131" s="130">
        <f t="shared" si="13"/>
        <v>0</v>
      </c>
      <c r="I131" s="139">
        <f t="shared" si="14"/>
        <v>0</v>
      </c>
      <c r="J131" s="67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>
      <c r="B132" s="160" t="str">
        <f t="shared" si="16"/>
        <v/>
      </c>
      <c r="C132" s="472">
        <f>IF(D93="","-",+C131+1)</f>
        <v>2054</v>
      </c>
      <c r="D132" s="63">
        <f>IF(F131+SUM(E$99:E131)=D$92,F131,D$92-SUM(E$99:E131))</f>
        <v>0</v>
      </c>
      <c r="E132" s="69">
        <f t="shared" si="17"/>
        <v>0</v>
      </c>
      <c r="F132" s="68">
        <f t="shared" si="18"/>
        <v>0</v>
      </c>
      <c r="G132" s="68">
        <f t="shared" si="19"/>
        <v>0</v>
      </c>
      <c r="H132" s="130">
        <f t="shared" si="13"/>
        <v>0</v>
      </c>
      <c r="I132" s="139">
        <f t="shared" si="14"/>
        <v>0</v>
      </c>
      <c r="J132" s="67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>
      <c r="B133" s="160" t="str">
        <f t="shared" si="16"/>
        <v/>
      </c>
      <c r="C133" s="472">
        <f>IF(D93="","-",+C132+1)</f>
        <v>2055</v>
      </c>
      <c r="D133" s="63">
        <f>IF(F132+SUM(E$99:E132)=D$92,F132,D$92-SUM(E$99:E132))</f>
        <v>0</v>
      </c>
      <c r="E133" s="69">
        <f t="shared" si="17"/>
        <v>0</v>
      </c>
      <c r="F133" s="68">
        <f t="shared" si="18"/>
        <v>0</v>
      </c>
      <c r="G133" s="68">
        <f t="shared" si="19"/>
        <v>0</v>
      </c>
      <c r="H133" s="130">
        <f t="shared" si="13"/>
        <v>0</v>
      </c>
      <c r="I133" s="139">
        <f t="shared" si="14"/>
        <v>0</v>
      </c>
      <c r="J133" s="67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>
      <c r="B134" s="160" t="str">
        <f t="shared" si="16"/>
        <v/>
      </c>
      <c r="C134" s="472">
        <f>IF(D93="","-",+C133+1)</f>
        <v>2056</v>
      </c>
      <c r="D134" s="63">
        <f>IF(F133+SUM(E$99:E133)=D$92,F133,D$92-SUM(E$99:E133))</f>
        <v>0</v>
      </c>
      <c r="E134" s="69">
        <f t="shared" si="17"/>
        <v>0</v>
      </c>
      <c r="F134" s="68">
        <f t="shared" si="18"/>
        <v>0</v>
      </c>
      <c r="G134" s="68">
        <f t="shared" si="19"/>
        <v>0</v>
      </c>
      <c r="H134" s="130">
        <f t="shared" si="13"/>
        <v>0</v>
      </c>
      <c r="I134" s="139">
        <f t="shared" si="14"/>
        <v>0</v>
      </c>
      <c r="J134" s="67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>
      <c r="B135" s="160" t="str">
        <f t="shared" si="16"/>
        <v/>
      </c>
      <c r="C135" s="472">
        <f>IF(D93="","-",+C134+1)</f>
        <v>2057</v>
      </c>
      <c r="D135" s="63">
        <f>IF(F134+SUM(E$99:E134)=D$92,F134,D$92-SUM(E$99:E134))</f>
        <v>0</v>
      </c>
      <c r="E135" s="69">
        <f t="shared" si="17"/>
        <v>0</v>
      </c>
      <c r="F135" s="68">
        <f t="shared" si="18"/>
        <v>0</v>
      </c>
      <c r="G135" s="68">
        <f t="shared" si="19"/>
        <v>0</v>
      </c>
      <c r="H135" s="130">
        <f t="shared" si="13"/>
        <v>0</v>
      </c>
      <c r="I135" s="139">
        <f t="shared" si="14"/>
        <v>0</v>
      </c>
      <c r="J135" s="67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>
      <c r="B136" s="160" t="str">
        <f t="shared" si="16"/>
        <v/>
      </c>
      <c r="C136" s="472">
        <f>IF(D93="","-",+C135+1)</f>
        <v>2058</v>
      </c>
      <c r="D136" s="63">
        <f>IF(F135+SUM(E$99:E135)=D$92,F135,D$92-SUM(E$99:E135))</f>
        <v>0</v>
      </c>
      <c r="E136" s="69">
        <f t="shared" si="17"/>
        <v>0</v>
      </c>
      <c r="F136" s="68">
        <f t="shared" si="18"/>
        <v>0</v>
      </c>
      <c r="G136" s="68">
        <f t="shared" si="19"/>
        <v>0</v>
      </c>
      <c r="H136" s="130">
        <f t="shared" si="13"/>
        <v>0</v>
      </c>
      <c r="I136" s="139">
        <f t="shared" si="14"/>
        <v>0</v>
      </c>
      <c r="J136" s="67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>
      <c r="B137" s="160" t="str">
        <f t="shared" si="16"/>
        <v/>
      </c>
      <c r="C137" s="472">
        <f>IF(D93="","-",+C136+1)</f>
        <v>2059</v>
      </c>
      <c r="D137" s="63">
        <f>IF(F136+SUM(E$99:E136)=D$92,F136,D$92-SUM(E$99:E136))</f>
        <v>0</v>
      </c>
      <c r="E137" s="69">
        <f t="shared" si="17"/>
        <v>0</v>
      </c>
      <c r="F137" s="68">
        <f t="shared" si="18"/>
        <v>0</v>
      </c>
      <c r="G137" s="68">
        <f t="shared" si="19"/>
        <v>0</v>
      </c>
      <c r="H137" s="130">
        <f t="shared" si="13"/>
        <v>0</v>
      </c>
      <c r="I137" s="139">
        <f t="shared" si="14"/>
        <v>0</v>
      </c>
      <c r="J137" s="67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>
      <c r="B138" s="160" t="str">
        <f t="shared" si="16"/>
        <v/>
      </c>
      <c r="C138" s="472">
        <f>IF(D93="","-",+C137+1)</f>
        <v>2060</v>
      </c>
      <c r="D138" s="63">
        <f>IF(F137+SUM(E$99:E137)=D$92,F137,D$92-SUM(E$99:E137))</f>
        <v>0</v>
      </c>
      <c r="E138" s="69">
        <f t="shared" si="17"/>
        <v>0</v>
      </c>
      <c r="F138" s="68">
        <f t="shared" si="18"/>
        <v>0</v>
      </c>
      <c r="G138" s="68">
        <f t="shared" si="19"/>
        <v>0</v>
      </c>
      <c r="H138" s="130">
        <f t="shared" si="13"/>
        <v>0</v>
      </c>
      <c r="I138" s="139">
        <f t="shared" si="14"/>
        <v>0</v>
      </c>
      <c r="J138" s="67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>
      <c r="B139" s="160" t="str">
        <f t="shared" si="16"/>
        <v/>
      </c>
      <c r="C139" s="472">
        <f>IF(D93="","-",+C138+1)</f>
        <v>2061</v>
      </c>
      <c r="D139" s="63">
        <f>IF(F138+SUM(E$99:E138)=D$92,F138,D$92-SUM(E$99:E138))</f>
        <v>0</v>
      </c>
      <c r="E139" s="69">
        <f t="shared" si="17"/>
        <v>0</v>
      </c>
      <c r="F139" s="68">
        <f t="shared" si="18"/>
        <v>0</v>
      </c>
      <c r="G139" s="68">
        <f t="shared" si="19"/>
        <v>0</v>
      </c>
      <c r="H139" s="130">
        <f t="shared" si="13"/>
        <v>0</v>
      </c>
      <c r="I139" s="139">
        <f t="shared" si="14"/>
        <v>0</v>
      </c>
      <c r="J139" s="67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>
      <c r="B140" s="160" t="str">
        <f t="shared" si="16"/>
        <v/>
      </c>
      <c r="C140" s="472">
        <f>IF(D93="","-",+C139+1)</f>
        <v>2062</v>
      </c>
      <c r="D140" s="63">
        <f>IF(F139+SUM(E$99:E139)=D$92,F139,D$92-SUM(E$99:E139))</f>
        <v>0</v>
      </c>
      <c r="E140" s="69">
        <f t="shared" si="17"/>
        <v>0</v>
      </c>
      <c r="F140" s="68">
        <f t="shared" si="18"/>
        <v>0</v>
      </c>
      <c r="G140" s="68">
        <f t="shared" si="19"/>
        <v>0</v>
      </c>
      <c r="H140" s="130">
        <f t="shared" si="13"/>
        <v>0</v>
      </c>
      <c r="I140" s="139">
        <f t="shared" si="14"/>
        <v>0</v>
      </c>
      <c r="J140" s="67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>
      <c r="B141" s="160" t="str">
        <f t="shared" si="16"/>
        <v/>
      </c>
      <c r="C141" s="472">
        <f>IF(D93="","-",+C140+1)</f>
        <v>2063</v>
      </c>
      <c r="D141" s="63">
        <f>IF(F140+SUM(E$99:E140)=D$92,F140,D$92-SUM(E$99:E140))</f>
        <v>0</v>
      </c>
      <c r="E141" s="69">
        <f t="shared" si="17"/>
        <v>0</v>
      </c>
      <c r="F141" s="68">
        <f t="shared" si="18"/>
        <v>0</v>
      </c>
      <c r="G141" s="68">
        <f t="shared" si="19"/>
        <v>0</v>
      </c>
      <c r="H141" s="130">
        <f t="shared" si="13"/>
        <v>0</v>
      </c>
      <c r="I141" s="139">
        <f t="shared" si="14"/>
        <v>0</v>
      </c>
      <c r="J141" s="67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>
      <c r="B142" s="160" t="str">
        <f t="shared" si="16"/>
        <v/>
      </c>
      <c r="C142" s="472">
        <f>IF(D93="","-",+C141+1)</f>
        <v>2064</v>
      </c>
      <c r="D142" s="63">
        <f>IF(F141+SUM(E$99:E141)=D$92,F141,D$92-SUM(E$99:E141))</f>
        <v>0</v>
      </c>
      <c r="E142" s="69">
        <f t="shared" si="17"/>
        <v>0</v>
      </c>
      <c r="F142" s="68">
        <f t="shared" si="18"/>
        <v>0</v>
      </c>
      <c r="G142" s="68">
        <f t="shared" si="19"/>
        <v>0</v>
      </c>
      <c r="H142" s="130">
        <f t="shared" si="13"/>
        <v>0</v>
      </c>
      <c r="I142" s="139">
        <f t="shared" si="14"/>
        <v>0</v>
      </c>
      <c r="J142" s="67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>
      <c r="B143" s="160" t="str">
        <f t="shared" si="16"/>
        <v/>
      </c>
      <c r="C143" s="472">
        <f>IF(D93="","-",+C142+1)</f>
        <v>2065</v>
      </c>
      <c r="D143" s="63">
        <f>IF(F142+SUM(E$99:E142)=D$92,F142,D$92-SUM(E$99:E142))</f>
        <v>0</v>
      </c>
      <c r="E143" s="69">
        <f t="shared" si="17"/>
        <v>0</v>
      </c>
      <c r="F143" s="68">
        <f t="shared" si="18"/>
        <v>0</v>
      </c>
      <c r="G143" s="68">
        <f t="shared" si="19"/>
        <v>0</v>
      </c>
      <c r="H143" s="130">
        <f t="shared" si="13"/>
        <v>0</v>
      </c>
      <c r="I143" s="139">
        <f t="shared" si="14"/>
        <v>0</v>
      </c>
      <c r="J143" s="67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>
      <c r="B144" s="160" t="str">
        <f t="shared" si="16"/>
        <v/>
      </c>
      <c r="C144" s="472">
        <f>IF(D93="","-",+C143+1)</f>
        <v>2066</v>
      </c>
      <c r="D144" s="63">
        <f>IF(F143+SUM(E$99:E143)=D$92,F143,D$92-SUM(E$99:E143))</f>
        <v>0</v>
      </c>
      <c r="E144" s="69">
        <f t="shared" si="17"/>
        <v>0</v>
      </c>
      <c r="F144" s="68">
        <f t="shared" si="18"/>
        <v>0</v>
      </c>
      <c r="G144" s="68">
        <f t="shared" si="19"/>
        <v>0</v>
      </c>
      <c r="H144" s="130">
        <f t="shared" si="13"/>
        <v>0</v>
      </c>
      <c r="I144" s="139">
        <f t="shared" si="14"/>
        <v>0</v>
      </c>
      <c r="J144" s="67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>
      <c r="B145" s="160" t="str">
        <f t="shared" si="16"/>
        <v/>
      </c>
      <c r="C145" s="472">
        <f>IF(D93="","-",+C144+1)</f>
        <v>2067</v>
      </c>
      <c r="D145" s="63">
        <f>IF(F144+SUM(E$99:E144)=D$92,F144,D$92-SUM(E$99:E144))</f>
        <v>0</v>
      </c>
      <c r="E145" s="69">
        <f t="shared" si="17"/>
        <v>0</v>
      </c>
      <c r="F145" s="68">
        <f t="shared" si="18"/>
        <v>0</v>
      </c>
      <c r="G145" s="68">
        <f t="shared" si="19"/>
        <v>0</v>
      </c>
      <c r="H145" s="130">
        <f t="shared" si="13"/>
        <v>0</v>
      </c>
      <c r="I145" s="139">
        <f t="shared" si="14"/>
        <v>0</v>
      </c>
      <c r="J145" s="67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>
      <c r="B146" s="160" t="str">
        <f t="shared" si="16"/>
        <v/>
      </c>
      <c r="C146" s="472">
        <f>IF(D93="","-",+C145+1)</f>
        <v>2068</v>
      </c>
      <c r="D146" s="63">
        <f>IF(F145+SUM(E$99:E145)=D$92,F145,D$92-SUM(E$99:E145))</f>
        <v>0</v>
      </c>
      <c r="E146" s="69">
        <f t="shared" si="17"/>
        <v>0</v>
      </c>
      <c r="F146" s="68">
        <f t="shared" si="18"/>
        <v>0</v>
      </c>
      <c r="G146" s="68">
        <f t="shared" si="19"/>
        <v>0</v>
      </c>
      <c r="H146" s="130">
        <f t="shared" si="13"/>
        <v>0</v>
      </c>
      <c r="I146" s="139">
        <f t="shared" si="14"/>
        <v>0</v>
      </c>
      <c r="J146" s="67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>
      <c r="B147" s="160" t="str">
        <f t="shared" si="16"/>
        <v/>
      </c>
      <c r="C147" s="472">
        <f>IF(D93="","-",+C146+1)</f>
        <v>2069</v>
      </c>
      <c r="D147" s="63">
        <f>IF(F146+SUM(E$99:E146)=D$92,F146,D$92-SUM(E$99:E146))</f>
        <v>0</v>
      </c>
      <c r="E147" s="69">
        <f t="shared" si="17"/>
        <v>0</v>
      </c>
      <c r="F147" s="68">
        <f t="shared" si="18"/>
        <v>0</v>
      </c>
      <c r="G147" s="68">
        <f t="shared" si="19"/>
        <v>0</v>
      </c>
      <c r="H147" s="130">
        <f t="shared" si="13"/>
        <v>0</v>
      </c>
      <c r="I147" s="139">
        <f t="shared" si="14"/>
        <v>0</v>
      </c>
      <c r="J147" s="67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>
      <c r="B148" s="160" t="str">
        <f t="shared" si="16"/>
        <v/>
      </c>
      <c r="C148" s="472">
        <f>IF(D93="","-",+C147+1)</f>
        <v>2070</v>
      </c>
      <c r="D148" s="63">
        <f>IF(F147+SUM(E$99:E147)=D$92,F147,D$92-SUM(E$99:E147))</f>
        <v>0</v>
      </c>
      <c r="E148" s="69">
        <f t="shared" si="17"/>
        <v>0</v>
      </c>
      <c r="F148" s="68">
        <f t="shared" si="18"/>
        <v>0</v>
      </c>
      <c r="G148" s="68">
        <f t="shared" si="19"/>
        <v>0</v>
      </c>
      <c r="H148" s="130">
        <f t="shared" si="13"/>
        <v>0</v>
      </c>
      <c r="I148" s="139">
        <f t="shared" si="14"/>
        <v>0</v>
      </c>
      <c r="J148" s="67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>
      <c r="B149" s="160" t="str">
        <f t="shared" si="16"/>
        <v/>
      </c>
      <c r="C149" s="472">
        <f>IF(D93="","-",+C148+1)</f>
        <v>2071</v>
      </c>
      <c r="D149" s="63">
        <f>IF(F148+SUM(E$99:E148)=D$92,F148,D$92-SUM(E$99:E148))</f>
        <v>0</v>
      </c>
      <c r="E149" s="69">
        <f t="shared" si="17"/>
        <v>0</v>
      </c>
      <c r="F149" s="68">
        <f t="shared" si="18"/>
        <v>0</v>
      </c>
      <c r="G149" s="68">
        <f t="shared" si="19"/>
        <v>0</v>
      </c>
      <c r="H149" s="130">
        <f t="shared" si="13"/>
        <v>0</v>
      </c>
      <c r="I149" s="139">
        <f t="shared" si="14"/>
        <v>0</v>
      </c>
      <c r="J149" s="67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>
      <c r="B150" s="160" t="str">
        <f t="shared" si="16"/>
        <v/>
      </c>
      <c r="C150" s="472">
        <f>IF(D93="","-",+C149+1)</f>
        <v>2072</v>
      </c>
      <c r="D150" s="63">
        <f>IF(F149+SUM(E$99:E149)=D$92,F149,D$92-SUM(E$99:E149))</f>
        <v>0</v>
      </c>
      <c r="E150" s="69">
        <f t="shared" si="17"/>
        <v>0</v>
      </c>
      <c r="F150" s="68">
        <f t="shared" si="18"/>
        <v>0</v>
      </c>
      <c r="G150" s="68">
        <f t="shared" si="19"/>
        <v>0</v>
      </c>
      <c r="H150" s="130">
        <f t="shared" si="13"/>
        <v>0</v>
      </c>
      <c r="I150" s="139">
        <f t="shared" si="14"/>
        <v>0</v>
      </c>
      <c r="J150" s="67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>
      <c r="B151" s="160" t="str">
        <f t="shared" si="16"/>
        <v/>
      </c>
      <c r="C151" s="472">
        <f>IF(D93="","-",+C150+1)</f>
        <v>2073</v>
      </c>
      <c r="D151" s="63">
        <f>IF(F150+SUM(E$99:E150)=D$92,F150,D$92-SUM(E$99:E150))</f>
        <v>0</v>
      </c>
      <c r="E151" s="69">
        <f t="shared" si="17"/>
        <v>0</v>
      </c>
      <c r="F151" s="68">
        <f t="shared" si="18"/>
        <v>0</v>
      </c>
      <c r="G151" s="68">
        <f t="shared" si="19"/>
        <v>0</v>
      </c>
      <c r="H151" s="130">
        <f t="shared" si="13"/>
        <v>0</v>
      </c>
      <c r="I151" s="139">
        <f t="shared" si="14"/>
        <v>0</v>
      </c>
      <c r="J151" s="67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>
      <c r="B152" s="160" t="str">
        <f t="shared" si="16"/>
        <v/>
      </c>
      <c r="C152" s="472">
        <f>IF(D93="","-",+C151+1)</f>
        <v>2074</v>
      </c>
      <c r="D152" s="63">
        <f>IF(F151+SUM(E$99:E151)=D$92,F151,D$92-SUM(E$99:E151))</f>
        <v>0</v>
      </c>
      <c r="E152" s="69">
        <f t="shared" si="17"/>
        <v>0</v>
      </c>
      <c r="F152" s="68">
        <f t="shared" si="18"/>
        <v>0</v>
      </c>
      <c r="G152" s="68">
        <f t="shared" si="19"/>
        <v>0</v>
      </c>
      <c r="H152" s="130">
        <f t="shared" si="13"/>
        <v>0</v>
      </c>
      <c r="I152" s="139">
        <f t="shared" si="14"/>
        <v>0</v>
      </c>
      <c r="J152" s="67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>
      <c r="B153" s="160" t="str">
        <f t="shared" si="16"/>
        <v/>
      </c>
      <c r="C153" s="472">
        <f>IF(D93="","-",+C152+1)</f>
        <v>2075</v>
      </c>
      <c r="D153" s="63">
        <f>IF(F152+SUM(E$99:E152)=D$92,F152,D$92-SUM(E$99:E152))</f>
        <v>0</v>
      </c>
      <c r="E153" s="69">
        <f t="shared" si="17"/>
        <v>0</v>
      </c>
      <c r="F153" s="68">
        <f t="shared" si="18"/>
        <v>0</v>
      </c>
      <c r="G153" s="68">
        <f t="shared" si="19"/>
        <v>0</v>
      </c>
      <c r="H153" s="130">
        <f t="shared" si="13"/>
        <v>0</v>
      </c>
      <c r="I153" s="139">
        <f t="shared" si="14"/>
        <v>0</v>
      </c>
      <c r="J153" s="67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" thickBot="1">
      <c r="B154" s="160" t="str">
        <f t="shared" si="16"/>
        <v/>
      </c>
      <c r="C154" s="489">
        <f>IF(D93="","-",+C153+1)</f>
        <v>2076</v>
      </c>
      <c r="D154" s="98">
        <f>IF(F153+SUM(E$99:E153)=D$92,F153,D$92-SUM(E$99:E153))</f>
        <v>0</v>
      </c>
      <c r="E154" s="74">
        <f t="shared" si="17"/>
        <v>0</v>
      </c>
      <c r="F154" s="73">
        <f t="shared" si="18"/>
        <v>0</v>
      </c>
      <c r="G154" s="73">
        <f t="shared" si="19"/>
        <v>0</v>
      </c>
      <c r="H154" s="140">
        <f t="shared" si="13"/>
        <v>0</v>
      </c>
      <c r="I154" s="141">
        <f t="shared" si="14"/>
        <v>0</v>
      </c>
      <c r="J154" s="76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>
      <c r="C155" s="346" t="s">
        <v>77</v>
      </c>
      <c r="D155" s="347"/>
      <c r="E155" s="347">
        <f>SUM(E99:E154)</f>
        <v>0</v>
      </c>
      <c r="F155" s="347"/>
      <c r="G155" s="347"/>
      <c r="H155" s="347">
        <f>SUM(H99:H154)</f>
        <v>68486.42007157256</v>
      </c>
      <c r="I155" s="347">
        <f>SUM(I99:I154)</f>
        <v>68486.42007157256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62"/>
  <sheetViews>
    <sheetView zoomScale="80" zoomScaleNormal="80" workbookViewId="0"/>
  </sheetViews>
  <sheetFormatPr defaultColWidth="8.7265625" defaultRowHeight="12.5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31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10181.795067763751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10181.795067763751</v>
      </c>
      <c r="O6" s="232"/>
      <c r="P6" s="232"/>
    </row>
    <row r="7" spans="1:16" ht="13.5" thickBot="1">
      <c r="C7" s="431" t="s">
        <v>46</v>
      </c>
      <c r="D7" s="622" t="s">
        <v>368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6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369</v>
      </c>
      <c r="E9" s="623" t="s">
        <v>370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70968.24417723043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2022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1819.6985686469341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2022</v>
      </c>
      <c r="D17" s="584">
        <v>0</v>
      </c>
      <c r="E17" s="585">
        <v>0</v>
      </c>
      <c r="F17" s="584">
        <v>56102</v>
      </c>
      <c r="G17" s="585">
        <v>3024.2132561392209</v>
      </c>
      <c r="H17" s="587">
        <v>3024.2132561392209</v>
      </c>
      <c r="I17" s="65">
        <f>H17-G17</f>
        <v>0</v>
      </c>
      <c r="J17" s="475"/>
      <c r="K17" s="554">
        <f>+G17</f>
        <v>3024.2132561392209</v>
      </c>
      <c r="L17" s="477">
        <f t="shared" ref="L17:L72" si="0">IF(K17&lt;&gt;0,+G17-K17,0)</f>
        <v>0</v>
      </c>
      <c r="M17" s="554">
        <f>+H17</f>
        <v>3024.2132561392209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2023</v>
      </c>
      <c r="D18" s="71">
        <f>IF(F17+SUM(E$17:E17)=D$10,F17,D$10-SUM(E$17:E17))</f>
        <v>70968.24417723043</v>
      </c>
      <c r="E18" s="69">
        <f>IF(+I$14&lt;F17,I$14,D18)</f>
        <v>1819.6985686469341</v>
      </c>
      <c r="F18" s="68">
        <f>+D18-E18</f>
        <v>69148.545608583503</v>
      </c>
      <c r="G18" s="70">
        <f>(D18+F18)/2*I$12+E18</f>
        <v>10181.795067763751</v>
      </c>
      <c r="H18" s="52">
        <f>+(D18+F18)/2*I$13+E18</f>
        <v>10181.795067763751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ref="N18" si="4">IF(M18&lt;&gt;0,+H18-M18,0)</f>
        <v>0</v>
      </c>
      <c r="O18" s="478">
        <f t="shared" ref="O18" si="5">+N18-L18</f>
        <v>0</v>
      </c>
      <c r="P18" s="242"/>
    </row>
    <row r="19" spans="2:16">
      <c r="B19" s="160" t="str">
        <f>IF(D19=F18,"","IU")</f>
        <v/>
      </c>
      <c r="C19" s="472">
        <f>IF(D11="","-",+C18+1)</f>
        <v>2024</v>
      </c>
      <c r="D19" s="71">
        <f>IF(F18+SUM(E$17:E18)=D$10,F18,D$10-SUM(E$17:E18))</f>
        <v>69148.545608583503</v>
      </c>
      <c r="E19" s="69">
        <f t="shared" ref="E19:E20" si="6">IF(+I$14&lt;F18,I$14,D19)</f>
        <v>1819.6985686469341</v>
      </c>
      <c r="F19" s="68">
        <f t="shared" ref="F19:F20" si="7">+D19-E19</f>
        <v>67328.847039936576</v>
      </c>
      <c r="G19" s="70">
        <f t="shared" ref="G19:G20" si="8">(D19+F19)/2*I$12+E19</f>
        <v>9964.5977560983774</v>
      </c>
      <c r="H19" s="52">
        <f t="shared" ref="H19:H20" si="9">+(D19+F19)/2*I$13+E19</f>
        <v>9964.5977560983774</v>
      </c>
      <c r="I19" s="65">
        <f t="shared" ref="I19:I20" si="10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11">IF(D20=F19,"","IU")</f>
        <v/>
      </c>
      <c r="C20" s="472">
        <f>IF(D11="","-",+C19+1)</f>
        <v>2025</v>
      </c>
      <c r="D20" s="71">
        <f>IF(F19+SUM(E$17:E19)=D$10,F19,D$10-SUM(E$17:E19))</f>
        <v>67328.847039936576</v>
      </c>
      <c r="E20" s="69">
        <f t="shared" si="6"/>
        <v>1819.6985686469341</v>
      </c>
      <c r="F20" s="68">
        <f t="shared" si="7"/>
        <v>65509.148471289642</v>
      </c>
      <c r="G20" s="70">
        <f t="shared" si="8"/>
        <v>9747.4004444330076</v>
      </c>
      <c r="H20" s="52">
        <f t="shared" si="9"/>
        <v>9747.4004444330076</v>
      </c>
      <c r="I20" s="65">
        <f t="shared" si="10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11"/>
        <v/>
      </c>
      <c r="C21" s="472">
        <f>IF(D11="","-",+C20+1)</f>
        <v>2026</v>
      </c>
      <c r="D21" s="483">
        <f>IF(F20+SUM(E$17:E20)=D$10,F20,D$10-SUM(E$17:E20))</f>
        <v>65509.148471289642</v>
      </c>
      <c r="E21" s="484">
        <f t="shared" ref="E21:E71" si="12">IF(+I$14&lt;F20,I$14,D21)</f>
        <v>1819.6985686469341</v>
      </c>
      <c r="F21" s="485">
        <f t="shared" ref="F21:F71" si="13">+D21-E21</f>
        <v>63689.449902642707</v>
      </c>
      <c r="G21" s="486">
        <f t="shared" ref="G21:G71" si="14">(D21+F21)/2*I$12+E21</f>
        <v>9530.2031327676359</v>
      </c>
      <c r="H21" s="455">
        <f t="shared" ref="H21:H71" si="15">+(D21+F21)/2*I$13+E21</f>
        <v>9530.2031327676359</v>
      </c>
      <c r="I21" s="475">
        <f t="shared" ref="I21:I71" si="16">H21-G21</f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11"/>
        <v/>
      </c>
      <c r="C22" s="472">
        <f>IF(D11="","-",+C21+1)</f>
        <v>2027</v>
      </c>
      <c r="D22" s="483">
        <f>IF(F21+SUM(E$17:E21)=D$10,F21,D$10-SUM(E$17:E21))</f>
        <v>63689.449902642707</v>
      </c>
      <c r="E22" s="484">
        <f t="shared" si="12"/>
        <v>1819.6985686469341</v>
      </c>
      <c r="F22" s="485">
        <f t="shared" si="13"/>
        <v>61869.751333995773</v>
      </c>
      <c r="G22" s="486">
        <f t="shared" si="14"/>
        <v>9313.0058211022642</v>
      </c>
      <c r="H22" s="455">
        <f t="shared" si="15"/>
        <v>9313.0058211022642</v>
      </c>
      <c r="I22" s="475">
        <f t="shared" si="16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11"/>
        <v/>
      </c>
      <c r="C23" s="472">
        <f>IF(D11="","-",+C22+1)</f>
        <v>2028</v>
      </c>
      <c r="D23" s="483">
        <f>IF(F22+SUM(E$17:E22)=D$10,F22,D$10-SUM(E$17:E22))</f>
        <v>61869.751333995773</v>
      </c>
      <c r="E23" s="484">
        <f t="shared" si="12"/>
        <v>1819.6985686469341</v>
      </c>
      <c r="F23" s="485">
        <f t="shared" si="13"/>
        <v>60050.052765348839</v>
      </c>
      <c r="G23" s="486">
        <f t="shared" si="14"/>
        <v>9095.8085094368926</v>
      </c>
      <c r="H23" s="455">
        <f t="shared" si="15"/>
        <v>9095.8085094368926</v>
      </c>
      <c r="I23" s="475">
        <f t="shared" si="16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11"/>
        <v/>
      </c>
      <c r="C24" s="472">
        <f>IF(D11="","-",+C23+1)</f>
        <v>2029</v>
      </c>
      <c r="D24" s="483">
        <f>IF(F23+SUM(E$17:E23)=D$10,F23,D$10-SUM(E$17:E23))</f>
        <v>60050.052765348839</v>
      </c>
      <c r="E24" s="484">
        <f t="shared" si="12"/>
        <v>1819.6985686469341</v>
      </c>
      <c r="F24" s="485">
        <f t="shared" si="13"/>
        <v>58230.354196701905</v>
      </c>
      <c r="G24" s="486">
        <f t="shared" si="14"/>
        <v>8878.6111977715191</v>
      </c>
      <c r="H24" s="455">
        <f t="shared" si="15"/>
        <v>8878.6111977715191</v>
      </c>
      <c r="I24" s="475">
        <f t="shared" si="16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11"/>
        <v/>
      </c>
      <c r="C25" s="472">
        <f>IF(D11="","-",+C24+1)</f>
        <v>2030</v>
      </c>
      <c r="D25" s="483">
        <f>IF(F24+SUM(E$17:E24)=D$10,F24,D$10-SUM(E$17:E24))</f>
        <v>58230.354196701905</v>
      </c>
      <c r="E25" s="484">
        <f t="shared" si="12"/>
        <v>1819.6985686469341</v>
      </c>
      <c r="F25" s="485">
        <f t="shared" si="13"/>
        <v>56410.65562805497</v>
      </c>
      <c r="G25" s="486">
        <f t="shared" si="14"/>
        <v>8661.4138861061492</v>
      </c>
      <c r="H25" s="455">
        <f t="shared" si="15"/>
        <v>8661.4138861061492</v>
      </c>
      <c r="I25" s="475">
        <f t="shared" si="16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11"/>
        <v/>
      </c>
      <c r="C26" s="472">
        <f>IF(D11="","-",+C25+1)</f>
        <v>2031</v>
      </c>
      <c r="D26" s="483">
        <f>IF(F25+SUM(E$17:E25)=D$10,F25,D$10-SUM(E$17:E25))</f>
        <v>56410.65562805497</v>
      </c>
      <c r="E26" s="484">
        <f t="shared" si="12"/>
        <v>1819.6985686469341</v>
      </c>
      <c r="F26" s="485">
        <f t="shared" si="13"/>
        <v>54590.957059408036</v>
      </c>
      <c r="G26" s="486">
        <f t="shared" si="14"/>
        <v>8444.2165744407757</v>
      </c>
      <c r="H26" s="455">
        <f t="shared" si="15"/>
        <v>8444.2165744407757</v>
      </c>
      <c r="I26" s="475">
        <f t="shared" si="16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11"/>
        <v/>
      </c>
      <c r="C27" s="472">
        <f>IF(D11="","-",+C26+1)</f>
        <v>2032</v>
      </c>
      <c r="D27" s="483">
        <f>IF(F26+SUM(E$17:E26)=D$10,F26,D$10-SUM(E$17:E26))</f>
        <v>54590.957059408036</v>
      </c>
      <c r="E27" s="484">
        <f t="shared" si="12"/>
        <v>1819.6985686469341</v>
      </c>
      <c r="F27" s="485">
        <f t="shared" si="13"/>
        <v>52771.258490761102</v>
      </c>
      <c r="G27" s="486">
        <f t="shared" si="14"/>
        <v>8227.0192627754059</v>
      </c>
      <c r="H27" s="455">
        <f t="shared" si="15"/>
        <v>8227.0192627754059</v>
      </c>
      <c r="I27" s="475">
        <f t="shared" si="16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11"/>
        <v/>
      </c>
      <c r="C28" s="472">
        <f>IF(D11="","-",+C27+1)</f>
        <v>2033</v>
      </c>
      <c r="D28" s="483">
        <f>IF(F27+SUM(E$17:E27)=D$10,F27,D$10-SUM(E$17:E27))</f>
        <v>52771.258490761102</v>
      </c>
      <c r="E28" s="484">
        <f t="shared" si="12"/>
        <v>1819.6985686469341</v>
      </c>
      <c r="F28" s="485">
        <f t="shared" si="13"/>
        <v>50951.559922114167</v>
      </c>
      <c r="G28" s="486">
        <f t="shared" si="14"/>
        <v>8009.8219511100324</v>
      </c>
      <c r="H28" s="455">
        <f t="shared" si="15"/>
        <v>8009.8219511100324</v>
      </c>
      <c r="I28" s="475">
        <f t="shared" si="16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11"/>
        <v/>
      </c>
      <c r="C29" s="472">
        <f>IF(D11="","-",+C28+1)</f>
        <v>2034</v>
      </c>
      <c r="D29" s="483">
        <f>IF(F28+SUM(E$17:E28)=D$10,F28,D$10-SUM(E$17:E28))</f>
        <v>50951.559922114167</v>
      </c>
      <c r="E29" s="484">
        <f t="shared" si="12"/>
        <v>1819.6985686469341</v>
      </c>
      <c r="F29" s="485">
        <f t="shared" si="13"/>
        <v>49131.861353467233</v>
      </c>
      <c r="G29" s="486">
        <f t="shared" si="14"/>
        <v>7792.6246394446616</v>
      </c>
      <c r="H29" s="455">
        <f t="shared" si="15"/>
        <v>7792.6246394446616</v>
      </c>
      <c r="I29" s="475">
        <f t="shared" si="16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11"/>
        <v/>
      </c>
      <c r="C30" s="472">
        <f>IF(D11="","-",+C29+1)</f>
        <v>2035</v>
      </c>
      <c r="D30" s="483">
        <f>IF(F29+SUM(E$17:E29)=D$10,F29,D$10-SUM(E$17:E29))</f>
        <v>49131.861353467233</v>
      </c>
      <c r="E30" s="484">
        <f t="shared" si="12"/>
        <v>1819.6985686469341</v>
      </c>
      <c r="F30" s="485">
        <f t="shared" si="13"/>
        <v>47312.162784820299</v>
      </c>
      <c r="G30" s="486">
        <f t="shared" si="14"/>
        <v>7575.427327779289</v>
      </c>
      <c r="H30" s="455">
        <f t="shared" si="15"/>
        <v>7575.427327779289</v>
      </c>
      <c r="I30" s="475">
        <f t="shared" si="16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11"/>
        <v/>
      </c>
      <c r="C31" s="472">
        <f>IF(D11="","-",+C30+1)</f>
        <v>2036</v>
      </c>
      <c r="D31" s="483">
        <f>IF(F30+SUM(E$17:E30)=D$10,F30,D$10-SUM(E$17:E30))</f>
        <v>47312.162784820299</v>
      </c>
      <c r="E31" s="484">
        <f t="shared" si="12"/>
        <v>1819.6985686469341</v>
      </c>
      <c r="F31" s="485">
        <f t="shared" si="13"/>
        <v>45492.464216173365</v>
      </c>
      <c r="G31" s="486">
        <f t="shared" si="14"/>
        <v>7358.2300161139183</v>
      </c>
      <c r="H31" s="455">
        <f t="shared" si="15"/>
        <v>7358.2300161139183</v>
      </c>
      <c r="I31" s="475">
        <f t="shared" si="16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11"/>
        <v/>
      </c>
      <c r="C32" s="472">
        <f>IF(D11="","-",+C31+1)</f>
        <v>2037</v>
      </c>
      <c r="D32" s="483">
        <f>IF(F31+SUM(E$17:E31)=D$10,F31,D$10-SUM(E$17:E31))</f>
        <v>45492.464216173365</v>
      </c>
      <c r="E32" s="484">
        <f t="shared" si="12"/>
        <v>1819.6985686469341</v>
      </c>
      <c r="F32" s="485">
        <f t="shared" si="13"/>
        <v>43672.76564752643</v>
      </c>
      <c r="G32" s="486">
        <f t="shared" si="14"/>
        <v>7141.0327044485457</v>
      </c>
      <c r="H32" s="455">
        <f t="shared" si="15"/>
        <v>7141.0327044485457</v>
      </c>
      <c r="I32" s="475">
        <f t="shared" si="16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11"/>
        <v/>
      </c>
      <c r="C33" s="472">
        <f>IF(D11="","-",+C32+1)</f>
        <v>2038</v>
      </c>
      <c r="D33" s="483">
        <f>IF(F32+SUM(E$17:E32)=D$10,F32,D$10-SUM(E$17:E32))</f>
        <v>43672.76564752643</v>
      </c>
      <c r="E33" s="484">
        <f t="shared" si="12"/>
        <v>1819.6985686469341</v>
      </c>
      <c r="F33" s="485">
        <f t="shared" si="13"/>
        <v>41853.067078879496</v>
      </c>
      <c r="G33" s="486">
        <f t="shared" si="14"/>
        <v>6923.835392783174</v>
      </c>
      <c r="H33" s="455">
        <f t="shared" si="15"/>
        <v>6923.835392783174</v>
      </c>
      <c r="I33" s="475">
        <f t="shared" si="16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11"/>
        <v/>
      </c>
      <c r="C34" s="472">
        <f>IF(D11="","-",+C33+1)</f>
        <v>2039</v>
      </c>
      <c r="D34" s="483">
        <f>IF(F33+SUM(E$17:E33)=D$10,F33,D$10-SUM(E$17:E33))</f>
        <v>41853.067078879496</v>
      </c>
      <c r="E34" s="484">
        <f t="shared" si="12"/>
        <v>1819.6985686469341</v>
      </c>
      <c r="F34" s="485">
        <f t="shared" si="13"/>
        <v>40033.368510232562</v>
      </c>
      <c r="G34" s="486">
        <f t="shared" si="14"/>
        <v>6706.6380811178014</v>
      </c>
      <c r="H34" s="455">
        <f t="shared" si="15"/>
        <v>6706.6380811178014</v>
      </c>
      <c r="I34" s="475">
        <f t="shared" si="16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11"/>
        <v/>
      </c>
      <c r="C35" s="472">
        <f>IF(D11="","-",+C34+1)</f>
        <v>2040</v>
      </c>
      <c r="D35" s="483">
        <f>IF(F34+SUM(E$17:E34)=D$10,F34,D$10-SUM(E$17:E34))</f>
        <v>40033.368510232562</v>
      </c>
      <c r="E35" s="484">
        <f t="shared" si="12"/>
        <v>1819.6985686469341</v>
      </c>
      <c r="F35" s="485">
        <f t="shared" si="13"/>
        <v>38213.669941585627</v>
      </c>
      <c r="G35" s="486">
        <f t="shared" si="14"/>
        <v>6489.4407694524307</v>
      </c>
      <c r="H35" s="455">
        <f t="shared" si="15"/>
        <v>6489.4407694524307</v>
      </c>
      <c r="I35" s="475">
        <f t="shared" si="16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11"/>
        <v/>
      </c>
      <c r="C36" s="472">
        <f>IF(D11="","-",+C35+1)</f>
        <v>2041</v>
      </c>
      <c r="D36" s="483">
        <f>IF(F35+SUM(E$17:E35)=D$10,F35,D$10-SUM(E$17:E35))</f>
        <v>38213.669941585627</v>
      </c>
      <c r="E36" s="484">
        <f t="shared" si="12"/>
        <v>1819.6985686469341</v>
      </c>
      <c r="F36" s="485">
        <f t="shared" si="13"/>
        <v>36393.971372938693</v>
      </c>
      <c r="G36" s="486">
        <f t="shared" si="14"/>
        <v>6272.2434577870581</v>
      </c>
      <c r="H36" s="455">
        <f t="shared" si="15"/>
        <v>6272.2434577870581</v>
      </c>
      <c r="I36" s="475">
        <f t="shared" si="16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11"/>
        <v/>
      </c>
      <c r="C37" s="472">
        <f>IF(D11="","-",+C36+1)</f>
        <v>2042</v>
      </c>
      <c r="D37" s="483">
        <f>IF(F36+SUM(E$17:E36)=D$10,F36,D$10-SUM(E$17:E36))</f>
        <v>36393.971372938693</v>
      </c>
      <c r="E37" s="484">
        <f t="shared" si="12"/>
        <v>1819.6985686469341</v>
      </c>
      <c r="F37" s="485">
        <f t="shared" si="13"/>
        <v>34574.272804291759</v>
      </c>
      <c r="G37" s="486">
        <f t="shared" si="14"/>
        <v>6055.0461461216864</v>
      </c>
      <c r="H37" s="455">
        <f t="shared" si="15"/>
        <v>6055.0461461216864</v>
      </c>
      <c r="I37" s="475">
        <f t="shared" si="16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11"/>
        <v/>
      </c>
      <c r="C38" s="472">
        <f>IF(D11="","-",+C37+1)</f>
        <v>2043</v>
      </c>
      <c r="D38" s="483">
        <f>IF(F37+SUM(E$17:E37)=D$10,F37,D$10-SUM(E$17:E37))</f>
        <v>34574.272804291759</v>
      </c>
      <c r="E38" s="484">
        <f t="shared" si="12"/>
        <v>1819.6985686469341</v>
      </c>
      <c r="F38" s="485">
        <f t="shared" si="13"/>
        <v>32754.574235644825</v>
      </c>
      <c r="G38" s="486">
        <f t="shared" si="14"/>
        <v>5837.8488344563139</v>
      </c>
      <c r="H38" s="455">
        <f t="shared" si="15"/>
        <v>5837.8488344563139</v>
      </c>
      <c r="I38" s="475">
        <f t="shared" si="16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11"/>
        <v/>
      </c>
      <c r="C39" s="472">
        <f>IF(D11="","-",+C38+1)</f>
        <v>2044</v>
      </c>
      <c r="D39" s="483">
        <f>IF(F38+SUM(E$17:E38)=D$10,F38,D$10-SUM(E$17:E38))</f>
        <v>32754.574235644825</v>
      </c>
      <c r="E39" s="484">
        <f t="shared" si="12"/>
        <v>1819.6985686469341</v>
      </c>
      <c r="F39" s="485">
        <f t="shared" si="13"/>
        <v>30934.87566699789</v>
      </c>
      <c r="G39" s="486">
        <f t="shared" si="14"/>
        <v>5620.6515227909422</v>
      </c>
      <c r="H39" s="455">
        <f t="shared" si="15"/>
        <v>5620.6515227909422</v>
      </c>
      <c r="I39" s="475">
        <f t="shared" si="16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11"/>
        <v/>
      </c>
      <c r="C40" s="472">
        <f>IF(D11="","-",+C39+1)</f>
        <v>2045</v>
      </c>
      <c r="D40" s="483">
        <f>IF(F39+SUM(E$17:E39)=D$10,F39,D$10-SUM(E$17:E39))</f>
        <v>30934.87566699789</v>
      </c>
      <c r="E40" s="484">
        <f t="shared" si="12"/>
        <v>1819.6985686469341</v>
      </c>
      <c r="F40" s="485">
        <f t="shared" si="13"/>
        <v>29115.177098350956</v>
      </c>
      <c r="G40" s="486">
        <f t="shared" si="14"/>
        <v>5403.4542111255705</v>
      </c>
      <c r="H40" s="455">
        <f t="shared" si="15"/>
        <v>5403.4542111255705</v>
      </c>
      <c r="I40" s="475">
        <f t="shared" si="16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11"/>
        <v/>
      </c>
      <c r="C41" s="472">
        <f>IF(D11="","-",+C40+1)</f>
        <v>2046</v>
      </c>
      <c r="D41" s="483">
        <f>IF(F40+SUM(E$17:E40)=D$10,F40,D$10-SUM(E$17:E40))</f>
        <v>29115.177098350956</v>
      </c>
      <c r="E41" s="484">
        <f t="shared" si="12"/>
        <v>1819.6985686469341</v>
      </c>
      <c r="F41" s="485">
        <f t="shared" si="13"/>
        <v>27295.478529704022</v>
      </c>
      <c r="G41" s="486">
        <f t="shared" si="14"/>
        <v>5186.2568994601988</v>
      </c>
      <c r="H41" s="455">
        <f t="shared" si="15"/>
        <v>5186.2568994601988</v>
      </c>
      <c r="I41" s="475">
        <f t="shared" si="16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11"/>
        <v/>
      </c>
      <c r="C42" s="472">
        <f>IF(D11="","-",+C41+1)</f>
        <v>2047</v>
      </c>
      <c r="D42" s="483">
        <f>IF(F41+SUM(E$17:E41)=D$10,F41,D$10-SUM(E$17:E41))</f>
        <v>27295.478529704022</v>
      </c>
      <c r="E42" s="484">
        <f t="shared" si="12"/>
        <v>1819.6985686469341</v>
      </c>
      <c r="F42" s="485">
        <f t="shared" si="13"/>
        <v>25475.779961057087</v>
      </c>
      <c r="G42" s="486">
        <f t="shared" si="14"/>
        <v>4969.0595877948272</v>
      </c>
      <c r="H42" s="455">
        <f t="shared" si="15"/>
        <v>4969.0595877948272</v>
      </c>
      <c r="I42" s="475">
        <f t="shared" si="16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11"/>
        <v/>
      </c>
      <c r="C43" s="472">
        <f>IF(D11="","-",+C42+1)</f>
        <v>2048</v>
      </c>
      <c r="D43" s="483">
        <f>IF(F42+SUM(E$17:E42)=D$10,F42,D$10-SUM(E$17:E42))</f>
        <v>25475.779961057087</v>
      </c>
      <c r="E43" s="484">
        <f t="shared" si="12"/>
        <v>1819.6985686469341</v>
      </c>
      <c r="F43" s="485">
        <f t="shared" si="13"/>
        <v>23656.081392410153</v>
      </c>
      <c r="G43" s="486">
        <f t="shared" si="14"/>
        <v>4751.8622761294555</v>
      </c>
      <c r="H43" s="455">
        <f t="shared" si="15"/>
        <v>4751.8622761294555</v>
      </c>
      <c r="I43" s="475">
        <f t="shared" si="16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11"/>
        <v/>
      </c>
      <c r="C44" s="472">
        <f>IF(D11="","-",+C43+1)</f>
        <v>2049</v>
      </c>
      <c r="D44" s="483">
        <f>IF(F43+SUM(E$17:E43)=D$10,F43,D$10-SUM(E$17:E43))</f>
        <v>23656.081392410153</v>
      </c>
      <c r="E44" s="484">
        <f t="shared" si="12"/>
        <v>1819.6985686469341</v>
      </c>
      <c r="F44" s="485">
        <f t="shared" si="13"/>
        <v>21836.382823763219</v>
      </c>
      <c r="G44" s="486">
        <f t="shared" si="14"/>
        <v>4534.6649644640829</v>
      </c>
      <c r="H44" s="455">
        <f t="shared" si="15"/>
        <v>4534.6649644640829</v>
      </c>
      <c r="I44" s="475">
        <f t="shared" si="16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11"/>
        <v/>
      </c>
      <c r="C45" s="472">
        <f>IF(D11="","-",+C44+1)</f>
        <v>2050</v>
      </c>
      <c r="D45" s="483">
        <f>IF(F44+SUM(E$17:E44)=D$10,F44,D$10-SUM(E$17:E44))</f>
        <v>21836.382823763219</v>
      </c>
      <c r="E45" s="484">
        <f t="shared" si="12"/>
        <v>1819.6985686469341</v>
      </c>
      <c r="F45" s="485">
        <f t="shared" si="13"/>
        <v>20016.684255116284</v>
      </c>
      <c r="G45" s="486">
        <f t="shared" si="14"/>
        <v>4317.4676527987112</v>
      </c>
      <c r="H45" s="455">
        <f t="shared" si="15"/>
        <v>4317.4676527987112</v>
      </c>
      <c r="I45" s="475">
        <f t="shared" si="16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11"/>
        <v/>
      </c>
      <c r="C46" s="472">
        <f>IF(D11="","-",+C45+1)</f>
        <v>2051</v>
      </c>
      <c r="D46" s="483">
        <f>IF(F45+SUM(E$17:E45)=D$10,F45,D$10-SUM(E$17:E45))</f>
        <v>20016.684255116284</v>
      </c>
      <c r="E46" s="484">
        <f t="shared" si="12"/>
        <v>1819.6985686469341</v>
      </c>
      <c r="F46" s="485">
        <f t="shared" si="13"/>
        <v>18196.98568646935</v>
      </c>
      <c r="G46" s="486">
        <f t="shared" si="14"/>
        <v>4100.2703411333396</v>
      </c>
      <c r="H46" s="455">
        <f t="shared" si="15"/>
        <v>4100.2703411333396</v>
      </c>
      <c r="I46" s="475">
        <f t="shared" si="16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11"/>
        <v/>
      </c>
      <c r="C47" s="472">
        <f>IF(D11="","-",+C46+1)</f>
        <v>2052</v>
      </c>
      <c r="D47" s="483">
        <f>IF(F46+SUM(E$17:E46)=D$10,F46,D$10-SUM(E$17:E46))</f>
        <v>18196.98568646935</v>
      </c>
      <c r="E47" s="484">
        <f t="shared" si="12"/>
        <v>1819.6985686469341</v>
      </c>
      <c r="F47" s="485">
        <f t="shared" si="13"/>
        <v>16377.287117822416</v>
      </c>
      <c r="G47" s="486">
        <f t="shared" si="14"/>
        <v>3883.0730294679679</v>
      </c>
      <c r="H47" s="455">
        <f t="shared" si="15"/>
        <v>3883.0730294679679</v>
      </c>
      <c r="I47" s="475">
        <f t="shared" si="16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11"/>
        <v/>
      </c>
      <c r="C48" s="472">
        <f>IF(D11="","-",+C47+1)</f>
        <v>2053</v>
      </c>
      <c r="D48" s="483">
        <f>IF(F47+SUM(E$17:E47)=D$10,F47,D$10-SUM(E$17:E47))</f>
        <v>16377.287117822416</v>
      </c>
      <c r="E48" s="484">
        <f t="shared" si="12"/>
        <v>1819.6985686469341</v>
      </c>
      <c r="F48" s="485">
        <f t="shared" si="13"/>
        <v>14557.588549175482</v>
      </c>
      <c r="G48" s="486">
        <f t="shared" si="14"/>
        <v>3665.8757178025958</v>
      </c>
      <c r="H48" s="455">
        <f t="shared" si="15"/>
        <v>3665.8757178025958</v>
      </c>
      <c r="I48" s="475">
        <f t="shared" si="16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11"/>
        <v/>
      </c>
      <c r="C49" s="472">
        <f>IF(D11="","-",+C48+1)</f>
        <v>2054</v>
      </c>
      <c r="D49" s="483">
        <f>IF(F48+SUM(E$17:E48)=D$10,F48,D$10-SUM(E$17:E48))</f>
        <v>14557.588549175482</v>
      </c>
      <c r="E49" s="484">
        <f t="shared" si="12"/>
        <v>1819.6985686469341</v>
      </c>
      <c r="F49" s="485">
        <f t="shared" si="13"/>
        <v>12737.889980528547</v>
      </c>
      <c r="G49" s="486">
        <f t="shared" si="14"/>
        <v>3448.6784061372236</v>
      </c>
      <c r="H49" s="455">
        <f t="shared" si="15"/>
        <v>3448.6784061372236</v>
      </c>
      <c r="I49" s="475">
        <f t="shared" si="16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11"/>
        <v/>
      </c>
      <c r="C50" s="472">
        <f>IF(D11="","-",+C49+1)</f>
        <v>2055</v>
      </c>
      <c r="D50" s="483">
        <f>IF(F49+SUM(E$17:E49)=D$10,F49,D$10-SUM(E$17:E49))</f>
        <v>12737.889980528547</v>
      </c>
      <c r="E50" s="484">
        <f t="shared" si="12"/>
        <v>1819.6985686469341</v>
      </c>
      <c r="F50" s="485">
        <f t="shared" si="13"/>
        <v>10918.191411881613</v>
      </c>
      <c r="G50" s="486">
        <f t="shared" si="14"/>
        <v>3231.481094471852</v>
      </c>
      <c r="H50" s="455">
        <f t="shared" si="15"/>
        <v>3231.481094471852</v>
      </c>
      <c r="I50" s="475">
        <f t="shared" si="16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11"/>
        <v/>
      </c>
      <c r="C51" s="472">
        <f>IF(D11="","-",+C50+1)</f>
        <v>2056</v>
      </c>
      <c r="D51" s="483">
        <f>IF(F50+SUM(E$17:E50)=D$10,F50,D$10-SUM(E$17:E50))</f>
        <v>10918.191411881613</v>
      </c>
      <c r="E51" s="484">
        <f t="shared" si="12"/>
        <v>1819.6985686469341</v>
      </c>
      <c r="F51" s="485">
        <f t="shared" si="13"/>
        <v>9098.4928432346787</v>
      </c>
      <c r="G51" s="486">
        <f t="shared" si="14"/>
        <v>3014.2837828064803</v>
      </c>
      <c r="H51" s="455">
        <f t="shared" si="15"/>
        <v>3014.2837828064803</v>
      </c>
      <c r="I51" s="475">
        <f t="shared" si="16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11"/>
        <v/>
      </c>
      <c r="C52" s="472">
        <f>IF(D11="","-",+C51+1)</f>
        <v>2057</v>
      </c>
      <c r="D52" s="483">
        <f>IF(F51+SUM(E$17:E51)=D$10,F51,D$10-SUM(E$17:E51))</f>
        <v>9098.4928432346787</v>
      </c>
      <c r="E52" s="484">
        <f t="shared" si="12"/>
        <v>1819.6985686469341</v>
      </c>
      <c r="F52" s="485">
        <f t="shared" si="13"/>
        <v>7278.7942745877444</v>
      </c>
      <c r="G52" s="486">
        <f t="shared" si="14"/>
        <v>2797.0864711411082</v>
      </c>
      <c r="H52" s="455">
        <f t="shared" si="15"/>
        <v>2797.0864711411082</v>
      </c>
      <c r="I52" s="475">
        <f t="shared" si="16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11"/>
        <v/>
      </c>
      <c r="C53" s="472">
        <f>IF(D11="","-",+C52+1)</f>
        <v>2058</v>
      </c>
      <c r="D53" s="483">
        <f>IF(F52+SUM(E$17:E52)=D$10,F52,D$10-SUM(E$17:E52))</f>
        <v>7278.7942745877444</v>
      </c>
      <c r="E53" s="484">
        <f t="shared" si="12"/>
        <v>1819.6985686469341</v>
      </c>
      <c r="F53" s="485">
        <f t="shared" si="13"/>
        <v>5459.0957059408101</v>
      </c>
      <c r="G53" s="486">
        <f t="shared" si="14"/>
        <v>2579.8891594757365</v>
      </c>
      <c r="H53" s="455">
        <f t="shared" si="15"/>
        <v>2579.8891594757365</v>
      </c>
      <c r="I53" s="475">
        <f t="shared" si="16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11"/>
        <v/>
      </c>
      <c r="C54" s="472">
        <f>IF(D11="","-",+C53+1)</f>
        <v>2059</v>
      </c>
      <c r="D54" s="483">
        <f>IF(F53+SUM(E$17:E53)=D$10,F53,D$10-SUM(E$17:E53))</f>
        <v>5459.0957059408101</v>
      </c>
      <c r="E54" s="484">
        <f t="shared" si="12"/>
        <v>1819.6985686469341</v>
      </c>
      <c r="F54" s="485">
        <f t="shared" si="13"/>
        <v>3639.3971372938759</v>
      </c>
      <c r="G54" s="486">
        <f t="shared" si="14"/>
        <v>2362.6918478103644</v>
      </c>
      <c r="H54" s="455">
        <f t="shared" si="15"/>
        <v>2362.6918478103644</v>
      </c>
      <c r="I54" s="475">
        <f t="shared" si="16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11"/>
        <v/>
      </c>
      <c r="C55" s="472">
        <f>IF(D11="","-",+C54+1)</f>
        <v>2060</v>
      </c>
      <c r="D55" s="483">
        <f>IF(F54+SUM(E$17:E54)=D$10,F54,D$10-SUM(E$17:E54))</f>
        <v>3639.3971372938759</v>
      </c>
      <c r="E55" s="484">
        <f t="shared" si="12"/>
        <v>1819.6985686469341</v>
      </c>
      <c r="F55" s="485">
        <f t="shared" si="13"/>
        <v>1819.6985686469418</v>
      </c>
      <c r="G55" s="486">
        <f t="shared" si="14"/>
        <v>2145.4945361449927</v>
      </c>
      <c r="H55" s="455">
        <f t="shared" si="15"/>
        <v>2145.4945361449927</v>
      </c>
      <c r="I55" s="475">
        <f t="shared" si="16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11"/>
        <v/>
      </c>
      <c r="C56" s="472">
        <f>IF(D11="","-",+C55+1)</f>
        <v>2061</v>
      </c>
      <c r="D56" s="483">
        <f>IF(F55+SUM(E$17:E55)=D$10,F55,D$10-SUM(E$17:E55))</f>
        <v>1819.6985686469418</v>
      </c>
      <c r="E56" s="484">
        <f t="shared" si="12"/>
        <v>1819.6985686469341</v>
      </c>
      <c r="F56" s="485">
        <f t="shared" si="13"/>
        <v>7.73070496506989E-12</v>
      </c>
      <c r="G56" s="486">
        <f t="shared" si="14"/>
        <v>1928.2972244796208</v>
      </c>
      <c r="H56" s="455">
        <f t="shared" si="15"/>
        <v>1928.2972244796208</v>
      </c>
      <c r="I56" s="475">
        <f t="shared" si="16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11"/>
        <v/>
      </c>
      <c r="C57" s="472">
        <f>IF(D11="","-",+C56+1)</f>
        <v>2062</v>
      </c>
      <c r="D57" s="483">
        <f>IF(F56+SUM(E$17:E56)=D$10,F56,D$10-SUM(E$17:E56))</f>
        <v>7.73070496506989E-12</v>
      </c>
      <c r="E57" s="484">
        <f t="shared" si="12"/>
        <v>7.73070496506989E-12</v>
      </c>
      <c r="F57" s="485">
        <f t="shared" si="13"/>
        <v>0</v>
      </c>
      <c r="G57" s="486">
        <f t="shared" si="14"/>
        <v>8.1920693813039025E-12</v>
      </c>
      <c r="H57" s="455">
        <f t="shared" si="15"/>
        <v>8.1920693813039025E-12</v>
      </c>
      <c r="I57" s="475">
        <f t="shared" si="16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11"/>
        <v/>
      </c>
      <c r="C58" s="472">
        <f>IF(D11="","-",+C57+1)</f>
        <v>2063</v>
      </c>
      <c r="D58" s="483">
        <f>IF(F57+SUM(E$17:E57)=D$10,F57,D$10-SUM(E$17:E57))</f>
        <v>0</v>
      </c>
      <c r="E58" s="484">
        <f t="shared" si="12"/>
        <v>0</v>
      </c>
      <c r="F58" s="485">
        <f t="shared" si="13"/>
        <v>0</v>
      </c>
      <c r="G58" s="486">
        <f t="shared" si="14"/>
        <v>0</v>
      </c>
      <c r="H58" s="455">
        <f t="shared" si="15"/>
        <v>0</v>
      </c>
      <c r="I58" s="475">
        <f t="shared" si="16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11"/>
        <v/>
      </c>
      <c r="C59" s="472">
        <f>IF(D11="","-",+C58+1)</f>
        <v>2064</v>
      </c>
      <c r="D59" s="483">
        <f>IF(F58+SUM(E$17:E58)=D$10,F58,D$10-SUM(E$17:E58))</f>
        <v>0</v>
      </c>
      <c r="E59" s="484">
        <f t="shared" si="12"/>
        <v>0</v>
      </c>
      <c r="F59" s="485">
        <f t="shared" si="13"/>
        <v>0</v>
      </c>
      <c r="G59" s="486">
        <f t="shared" si="14"/>
        <v>0</v>
      </c>
      <c r="H59" s="455">
        <f t="shared" si="15"/>
        <v>0</v>
      </c>
      <c r="I59" s="475">
        <f t="shared" si="16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11"/>
        <v/>
      </c>
      <c r="C60" s="472">
        <f>IF(D11="","-",+C59+1)</f>
        <v>2065</v>
      </c>
      <c r="D60" s="483">
        <f>IF(F59+SUM(E$17:E59)=D$10,F59,D$10-SUM(E$17:E59))</f>
        <v>0</v>
      </c>
      <c r="E60" s="484">
        <f t="shared" si="12"/>
        <v>0</v>
      </c>
      <c r="F60" s="485">
        <f t="shared" si="13"/>
        <v>0</v>
      </c>
      <c r="G60" s="486">
        <f t="shared" si="14"/>
        <v>0</v>
      </c>
      <c r="H60" s="455">
        <f t="shared" si="15"/>
        <v>0</v>
      </c>
      <c r="I60" s="475">
        <f t="shared" si="16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11"/>
        <v/>
      </c>
      <c r="C61" s="472">
        <f>IF(D11="","-",+C60+1)</f>
        <v>2066</v>
      </c>
      <c r="D61" s="483">
        <f>IF(F60+SUM(E$17:E60)=D$10,F60,D$10-SUM(E$17:E60))</f>
        <v>0</v>
      </c>
      <c r="E61" s="484">
        <f t="shared" si="12"/>
        <v>0</v>
      </c>
      <c r="F61" s="485">
        <f t="shared" si="13"/>
        <v>0</v>
      </c>
      <c r="G61" s="486">
        <f t="shared" si="14"/>
        <v>0</v>
      </c>
      <c r="H61" s="455">
        <f t="shared" si="15"/>
        <v>0</v>
      </c>
      <c r="I61" s="475">
        <f t="shared" si="16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11"/>
        <v/>
      </c>
      <c r="C62" s="472">
        <f>IF(D11="","-",+C61+1)</f>
        <v>2067</v>
      </c>
      <c r="D62" s="483">
        <f>IF(F61+SUM(E$17:E61)=D$10,F61,D$10-SUM(E$17:E61))</f>
        <v>0</v>
      </c>
      <c r="E62" s="484">
        <f t="shared" si="12"/>
        <v>0</v>
      </c>
      <c r="F62" s="485">
        <f t="shared" si="13"/>
        <v>0</v>
      </c>
      <c r="G62" s="486">
        <f t="shared" si="14"/>
        <v>0</v>
      </c>
      <c r="H62" s="455">
        <f t="shared" si="15"/>
        <v>0</v>
      </c>
      <c r="I62" s="475">
        <f t="shared" si="16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11"/>
        <v/>
      </c>
      <c r="C63" s="472">
        <f>IF(D11="","-",+C62+1)</f>
        <v>2068</v>
      </c>
      <c r="D63" s="483">
        <f>IF(F62+SUM(E$17:E62)=D$10,F62,D$10-SUM(E$17:E62))</f>
        <v>0</v>
      </c>
      <c r="E63" s="484">
        <f t="shared" si="12"/>
        <v>0</v>
      </c>
      <c r="F63" s="485">
        <f t="shared" si="13"/>
        <v>0</v>
      </c>
      <c r="G63" s="486">
        <f t="shared" si="14"/>
        <v>0</v>
      </c>
      <c r="H63" s="455">
        <f t="shared" si="15"/>
        <v>0</v>
      </c>
      <c r="I63" s="475">
        <f t="shared" si="16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11"/>
        <v/>
      </c>
      <c r="C64" s="472">
        <f>IF(D11="","-",+C63+1)</f>
        <v>2069</v>
      </c>
      <c r="D64" s="483">
        <f>IF(F63+SUM(E$17:E63)=D$10,F63,D$10-SUM(E$17:E63))</f>
        <v>0</v>
      </c>
      <c r="E64" s="484">
        <f t="shared" si="12"/>
        <v>0</v>
      </c>
      <c r="F64" s="485">
        <f t="shared" si="13"/>
        <v>0</v>
      </c>
      <c r="G64" s="486">
        <f t="shared" si="14"/>
        <v>0</v>
      </c>
      <c r="H64" s="455">
        <f t="shared" si="15"/>
        <v>0</v>
      </c>
      <c r="I64" s="475">
        <f t="shared" si="16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11"/>
        <v/>
      </c>
      <c r="C65" s="472">
        <f>IF(D11="","-",+C64+1)</f>
        <v>2070</v>
      </c>
      <c r="D65" s="483">
        <f>IF(F64+SUM(E$17:E64)=D$10,F64,D$10-SUM(E$17:E64))</f>
        <v>0</v>
      </c>
      <c r="E65" s="484">
        <f t="shared" si="12"/>
        <v>0</v>
      </c>
      <c r="F65" s="485">
        <f t="shared" si="13"/>
        <v>0</v>
      </c>
      <c r="G65" s="486">
        <f t="shared" si="14"/>
        <v>0</v>
      </c>
      <c r="H65" s="455">
        <f t="shared" si="15"/>
        <v>0</v>
      </c>
      <c r="I65" s="475">
        <f t="shared" si="16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11"/>
        <v/>
      </c>
      <c r="C66" s="472">
        <f>IF(D11="","-",+C65+1)</f>
        <v>2071</v>
      </c>
      <c r="D66" s="483">
        <f>IF(F65+SUM(E$17:E65)=D$10,F65,D$10-SUM(E$17:E65))</f>
        <v>0</v>
      </c>
      <c r="E66" s="484">
        <f t="shared" si="12"/>
        <v>0</v>
      </c>
      <c r="F66" s="485">
        <f t="shared" si="13"/>
        <v>0</v>
      </c>
      <c r="G66" s="486">
        <f t="shared" si="14"/>
        <v>0</v>
      </c>
      <c r="H66" s="455">
        <f t="shared" si="15"/>
        <v>0</v>
      </c>
      <c r="I66" s="475">
        <f t="shared" si="16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11"/>
        <v/>
      </c>
      <c r="C67" s="472">
        <f>IF(D11="","-",+C66+1)</f>
        <v>2072</v>
      </c>
      <c r="D67" s="483">
        <f>IF(F66+SUM(E$17:E66)=D$10,F66,D$10-SUM(E$17:E66))</f>
        <v>0</v>
      </c>
      <c r="E67" s="484">
        <f t="shared" si="12"/>
        <v>0</v>
      </c>
      <c r="F67" s="485">
        <f t="shared" si="13"/>
        <v>0</v>
      </c>
      <c r="G67" s="486">
        <f t="shared" si="14"/>
        <v>0</v>
      </c>
      <c r="H67" s="455">
        <f t="shared" si="15"/>
        <v>0</v>
      </c>
      <c r="I67" s="475">
        <f t="shared" si="16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11"/>
        <v/>
      </c>
      <c r="C68" s="472">
        <f>IF(D11="","-",+C67+1)</f>
        <v>2073</v>
      </c>
      <c r="D68" s="483">
        <f>IF(F67+SUM(E$17:E67)=D$10,F67,D$10-SUM(E$17:E67))</f>
        <v>0</v>
      </c>
      <c r="E68" s="484">
        <f t="shared" si="12"/>
        <v>0</v>
      </c>
      <c r="F68" s="485">
        <f t="shared" si="13"/>
        <v>0</v>
      </c>
      <c r="G68" s="486">
        <f t="shared" si="14"/>
        <v>0</v>
      </c>
      <c r="H68" s="455">
        <f t="shared" si="15"/>
        <v>0</v>
      </c>
      <c r="I68" s="475">
        <f t="shared" si="16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11"/>
        <v/>
      </c>
      <c r="C69" s="472">
        <f>IF(D11="","-",+C68+1)</f>
        <v>2074</v>
      </c>
      <c r="D69" s="483">
        <f>IF(F68+SUM(E$17:E68)=D$10,F68,D$10-SUM(E$17:E68))</f>
        <v>0</v>
      </c>
      <c r="E69" s="484">
        <f t="shared" si="12"/>
        <v>0</v>
      </c>
      <c r="F69" s="485">
        <f t="shared" si="13"/>
        <v>0</v>
      </c>
      <c r="G69" s="486">
        <f t="shared" si="14"/>
        <v>0</v>
      </c>
      <c r="H69" s="455">
        <f t="shared" si="15"/>
        <v>0</v>
      </c>
      <c r="I69" s="475">
        <f t="shared" si="16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11"/>
        <v/>
      </c>
      <c r="C70" s="472">
        <f>IF(D11="","-",+C69+1)</f>
        <v>2075</v>
      </c>
      <c r="D70" s="483">
        <f>IF(F69+SUM(E$17:E69)=D$10,F69,D$10-SUM(E$17:E69))</f>
        <v>0</v>
      </c>
      <c r="E70" s="484">
        <f t="shared" si="12"/>
        <v>0</v>
      </c>
      <c r="F70" s="485">
        <f t="shared" si="13"/>
        <v>0</v>
      </c>
      <c r="G70" s="486">
        <f t="shared" si="14"/>
        <v>0</v>
      </c>
      <c r="H70" s="455">
        <f t="shared" si="15"/>
        <v>0</v>
      </c>
      <c r="I70" s="475">
        <f t="shared" si="16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11"/>
        <v/>
      </c>
      <c r="C71" s="472">
        <f>IF(D11="","-",+C70+1)</f>
        <v>2076</v>
      </c>
      <c r="D71" s="483">
        <f>IF(F70+SUM(E$17:E70)=D$10,F70,D$10-SUM(E$17:E70))</f>
        <v>0</v>
      </c>
      <c r="E71" s="484">
        <f t="shared" si="12"/>
        <v>0</v>
      </c>
      <c r="F71" s="485">
        <f t="shared" si="13"/>
        <v>0</v>
      </c>
      <c r="G71" s="486">
        <f t="shared" si="14"/>
        <v>0</v>
      </c>
      <c r="H71" s="455">
        <f t="shared" si="15"/>
        <v>0</v>
      </c>
      <c r="I71" s="475">
        <f t="shared" si="16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" thickBot="1">
      <c r="B72" s="160" t="str">
        <f t="shared" si="11"/>
        <v/>
      </c>
      <c r="C72" s="489">
        <f>IF(D11="","-",+C71+1)</f>
        <v>2077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70968.24417723043</v>
      </c>
      <c r="F73" s="347"/>
      <c r="G73" s="347">
        <f>SUM(G17:G72)</f>
        <v>239171.01295488497</v>
      </c>
      <c r="H73" s="347">
        <f>SUM(H17:H72)</f>
        <v>239171.01295488497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31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Pryor Junction 138/115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526">
        <v>0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>
      <c r="C93" s="450" t="s">
        <v>53</v>
      </c>
      <c r="D93" s="525">
        <f>+D11</f>
        <v>2022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f>+D12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0</v>
      </c>
      <c r="K96" s="347"/>
      <c r="L96" s="347"/>
      <c r="M96" s="347"/>
      <c r="N96" s="347"/>
      <c r="O96" s="347"/>
      <c r="P96" s="242"/>
    </row>
    <row r="97" spans="1:16" ht="39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2022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478"/>
      <c r="L99" s="477">
        <f>+H99</f>
        <v>0</v>
      </c>
      <c r="M99" s="477">
        <f t="shared" ref="M99:M130" si="17">IF(L99&lt;&gt;0,+H99-L99,0)</f>
        <v>0</v>
      </c>
      <c r="N99" s="477">
        <f>+I99</f>
        <v>0</v>
      </c>
      <c r="O99" s="477">
        <f t="shared" ref="O99:O130" si="18">IF(N99&lt;&gt;0,+I99-N99,0)</f>
        <v>0</v>
      </c>
      <c r="P99" s="477">
        <f t="shared" ref="P99:P130" si="19">+O99-M99</f>
        <v>0</v>
      </c>
    </row>
    <row r="100" spans="1:16">
      <c r="B100" s="160" t="str">
        <f>IF(D100=F99,"","IU")</f>
        <v/>
      </c>
      <c r="C100" s="472">
        <f>IF(D93="","-",+C99+1)</f>
        <v>2023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20">+J$94*G100+E100</f>
        <v>0</v>
      </c>
      <c r="I100" s="139">
        <f t="shared" ref="I100:I154" si="21">+J$95*G100+E100</f>
        <v>0</v>
      </c>
      <c r="J100" s="67">
        <f t="shared" ref="J100:J130" si="22">+I100-H100</f>
        <v>0</v>
      </c>
      <c r="K100" s="478"/>
      <c r="L100" s="487"/>
      <c r="M100" s="478">
        <f t="shared" si="17"/>
        <v>0</v>
      </c>
      <c r="N100" s="487"/>
      <c r="O100" s="478">
        <f t="shared" si="18"/>
        <v>0</v>
      </c>
      <c r="P100" s="478">
        <f t="shared" si="19"/>
        <v>0</v>
      </c>
    </row>
    <row r="101" spans="1:16">
      <c r="B101" s="160" t="str">
        <f t="shared" ref="B101:B154" si="23">IF(D101=F100,"","IU")</f>
        <v/>
      </c>
      <c r="C101" s="472">
        <f>IF(D93="","-",+C100+1)</f>
        <v>2024</v>
      </c>
      <c r="D101" s="63">
        <f>IF(F100+SUM(E$99:E100)=D$92,F100,D$92-SUM(E$99:E100))</f>
        <v>0</v>
      </c>
      <c r="E101" s="69">
        <f t="shared" ref="E101:E154" si="24">IF(+J$96&lt;F100,J$96,D101)</f>
        <v>0</v>
      </c>
      <c r="F101" s="68">
        <f t="shared" ref="F101:F154" si="25">+D101-E101</f>
        <v>0</v>
      </c>
      <c r="G101" s="68">
        <f t="shared" ref="G101:G154" si="26">+(F101+D101)/2</f>
        <v>0</v>
      </c>
      <c r="H101" s="130">
        <f t="shared" si="20"/>
        <v>0</v>
      </c>
      <c r="I101" s="139">
        <f t="shared" si="21"/>
        <v>0</v>
      </c>
      <c r="J101" s="67">
        <f t="shared" si="22"/>
        <v>0</v>
      </c>
      <c r="K101" s="478"/>
      <c r="L101" s="487"/>
      <c r="M101" s="478">
        <f t="shared" si="17"/>
        <v>0</v>
      </c>
      <c r="N101" s="487"/>
      <c r="O101" s="478">
        <f t="shared" si="18"/>
        <v>0</v>
      </c>
      <c r="P101" s="478">
        <f t="shared" si="19"/>
        <v>0</v>
      </c>
    </row>
    <row r="102" spans="1:16">
      <c r="B102" s="160" t="str">
        <f t="shared" si="23"/>
        <v/>
      </c>
      <c r="C102" s="472">
        <f>IF(D93="","-",+C101+1)</f>
        <v>2025</v>
      </c>
      <c r="D102" s="63">
        <f>IF(F101+SUM(E$99:E101)=D$92,F101,D$92-SUM(E$99:E101))</f>
        <v>0</v>
      </c>
      <c r="E102" s="69">
        <f t="shared" si="24"/>
        <v>0</v>
      </c>
      <c r="F102" s="68">
        <f t="shared" si="25"/>
        <v>0</v>
      </c>
      <c r="G102" s="68">
        <f t="shared" si="26"/>
        <v>0</v>
      </c>
      <c r="H102" s="130">
        <f t="shared" si="20"/>
        <v>0</v>
      </c>
      <c r="I102" s="139">
        <f t="shared" si="21"/>
        <v>0</v>
      </c>
      <c r="J102" s="67">
        <f t="shared" si="22"/>
        <v>0</v>
      </c>
      <c r="K102" s="478"/>
      <c r="L102" s="487"/>
      <c r="M102" s="478">
        <f t="shared" si="17"/>
        <v>0</v>
      </c>
      <c r="N102" s="487"/>
      <c r="O102" s="478">
        <f t="shared" si="18"/>
        <v>0</v>
      </c>
      <c r="P102" s="478">
        <f t="shared" si="19"/>
        <v>0</v>
      </c>
    </row>
    <row r="103" spans="1:16">
      <c r="B103" s="160" t="str">
        <f t="shared" si="23"/>
        <v/>
      </c>
      <c r="C103" s="472">
        <f>IF(D93="","-",+C102+1)</f>
        <v>2026</v>
      </c>
      <c r="D103" s="63">
        <f>IF(F102+SUM(E$99:E102)=D$92,F102,D$92-SUM(E$99:E102))</f>
        <v>0</v>
      </c>
      <c r="E103" s="69">
        <f t="shared" si="24"/>
        <v>0</v>
      </c>
      <c r="F103" s="68">
        <f t="shared" si="25"/>
        <v>0</v>
      </c>
      <c r="G103" s="68">
        <f t="shared" si="26"/>
        <v>0</v>
      </c>
      <c r="H103" s="130">
        <f t="shared" si="20"/>
        <v>0</v>
      </c>
      <c r="I103" s="139">
        <f t="shared" si="21"/>
        <v>0</v>
      </c>
      <c r="J103" s="67">
        <f t="shared" si="22"/>
        <v>0</v>
      </c>
      <c r="K103" s="478"/>
      <c r="L103" s="487"/>
      <c r="M103" s="478">
        <f t="shared" si="17"/>
        <v>0</v>
      </c>
      <c r="N103" s="487"/>
      <c r="O103" s="478">
        <f t="shared" si="18"/>
        <v>0</v>
      </c>
      <c r="P103" s="478">
        <f t="shared" si="19"/>
        <v>0</v>
      </c>
    </row>
    <row r="104" spans="1:16">
      <c r="B104" s="160" t="str">
        <f t="shared" si="23"/>
        <v/>
      </c>
      <c r="C104" s="472">
        <f>IF(D93="","-",+C103+1)</f>
        <v>2027</v>
      </c>
      <c r="D104" s="63">
        <f>IF(F103+SUM(E$99:E103)=D$92,F103,D$92-SUM(E$99:E103))</f>
        <v>0</v>
      </c>
      <c r="E104" s="69">
        <f t="shared" si="24"/>
        <v>0</v>
      </c>
      <c r="F104" s="68">
        <f t="shared" si="25"/>
        <v>0</v>
      </c>
      <c r="G104" s="68">
        <f t="shared" si="26"/>
        <v>0</v>
      </c>
      <c r="H104" s="130">
        <f t="shared" si="20"/>
        <v>0</v>
      </c>
      <c r="I104" s="139">
        <f t="shared" si="21"/>
        <v>0</v>
      </c>
      <c r="J104" s="67">
        <f t="shared" si="22"/>
        <v>0</v>
      </c>
      <c r="K104" s="478"/>
      <c r="L104" s="487"/>
      <c r="M104" s="478">
        <f t="shared" si="17"/>
        <v>0</v>
      </c>
      <c r="N104" s="487"/>
      <c r="O104" s="478">
        <f t="shared" si="18"/>
        <v>0</v>
      </c>
      <c r="P104" s="478">
        <f t="shared" si="19"/>
        <v>0</v>
      </c>
    </row>
    <row r="105" spans="1:16">
      <c r="B105" s="160" t="str">
        <f t="shared" si="23"/>
        <v/>
      </c>
      <c r="C105" s="472">
        <f>IF(D93="","-",+C104+1)</f>
        <v>2028</v>
      </c>
      <c r="D105" s="63">
        <f>IF(F104+SUM(E$99:E104)=D$92,F104,D$92-SUM(E$99:E104))</f>
        <v>0</v>
      </c>
      <c r="E105" s="69">
        <f t="shared" si="24"/>
        <v>0</v>
      </c>
      <c r="F105" s="68">
        <f t="shared" si="25"/>
        <v>0</v>
      </c>
      <c r="G105" s="68">
        <f t="shared" si="26"/>
        <v>0</v>
      </c>
      <c r="H105" s="130">
        <f t="shared" si="20"/>
        <v>0</v>
      </c>
      <c r="I105" s="139">
        <f t="shared" si="21"/>
        <v>0</v>
      </c>
      <c r="J105" s="67">
        <f t="shared" si="22"/>
        <v>0</v>
      </c>
      <c r="K105" s="478"/>
      <c r="L105" s="487"/>
      <c r="M105" s="478">
        <f t="shared" si="17"/>
        <v>0</v>
      </c>
      <c r="N105" s="487"/>
      <c r="O105" s="478">
        <f t="shared" si="18"/>
        <v>0</v>
      </c>
      <c r="P105" s="478">
        <f t="shared" si="19"/>
        <v>0</v>
      </c>
    </row>
    <row r="106" spans="1:16">
      <c r="B106" s="160" t="str">
        <f t="shared" si="23"/>
        <v/>
      </c>
      <c r="C106" s="472">
        <f>IF(D93="","-",+C105+1)</f>
        <v>2029</v>
      </c>
      <c r="D106" s="63">
        <f>IF(F105+SUM(E$99:E105)=D$92,F105,D$92-SUM(E$99:E105))</f>
        <v>0</v>
      </c>
      <c r="E106" s="69">
        <f t="shared" si="24"/>
        <v>0</v>
      </c>
      <c r="F106" s="68">
        <f t="shared" si="25"/>
        <v>0</v>
      </c>
      <c r="G106" s="68">
        <f t="shared" si="26"/>
        <v>0</v>
      </c>
      <c r="H106" s="130">
        <f t="shared" si="20"/>
        <v>0</v>
      </c>
      <c r="I106" s="139">
        <f t="shared" si="21"/>
        <v>0</v>
      </c>
      <c r="J106" s="67">
        <f t="shared" si="22"/>
        <v>0</v>
      </c>
      <c r="K106" s="478"/>
      <c r="L106" s="487"/>
      <c r="M106" s="478">
        <f t="shared" si="17"/>
        <v>0</v>
      </c>
      <c r="N106" s="487"/>
      <c r="O106" s="478">
        <f t="shared" si="18"/>
        <v>0</v>
      </c>
      <c r="P106" s="478">
        <f t="shared" si="19"/>
        <v>0</v>
      </c>
    </row>
    <row r="107" spans="1:16">
      <c r="B107" s="160" t="str">
        <f t="shared" si="23"/>
        <v/>
      </c>
      <c r="C107" s="472">
        <f>IF(D93="","-",+C106+1)</f>
        <v>2030</v>
      </c>
      <c r="D107" s="63">
        <f>IF(F106+SUM(E$99:E106)=D$92,F106,D$92-SUM(E$99:E106))</f>
        <v>0</v>
      </c>
      <c r="E107" s="69">
        <f t="shared" si="24"/>
        <v>0</v>
      </c>
      <c r="F107" s="68">
        <f t="shared" si="25"/>
        <v>0</v>
      </c>
      <c r="G107" s="68">
        <f t="shared" si="26"/>
        <v>0</v>
      </c>
      <c r="H107" s="130">
        <f t="shared" si="20"/>
        <v>0</v>
      </c>
      <c r="I107" s="139">
        <f t="shared" si="21"/>
        <v>0</v>
      </c>
      <c r="J107" s="67">
        <f t="shared" si="22"/>
        <v>0</v>
      </c>
      <c r="K107" s="478"/>
      <c r="L107" s="487"/>
      <c r="M107" s="478">
        <f t="shared" si="17"/>
        <v>0</v>
      </c>
      <c r="N107" s="487"/>
      <c r="O107" s="478">
        <f t="shared" si="18"/>
        <v>0</v>
      </c>
      <c r="P107" s="478">
        <f t="shared" si="19"/>
        <v>0</v>
      </c>
    </row>
    <row r="108" spans="1:16">
      <c r="B108" s="160" t="str">
        <f t="shared" si="23"/>
        <v/>
      </c>
      <c r="C108" s="472">
        <f>IF(D93="","-",+C107+1)</f>
        <v>2031</v>
      </c>
      <c r="D108" s="63">
        <f>IF(F107+SUM(E$99:E107)=D$92,F107,D$92-SUM(E$99:E107))</f>
        <v>0</v>
      </c>
      <c r="E108" s="69">
        <f t="shared" si="24"/>
        <v>0</v>
      </c>
      <c r="F108" s="68">
        <f t="shared" si="25"/>
        <v>0</v>
      </c>
      <c r="G108" s="68">
        <f t="shared" si="26"/>
        <v>0</v>
      </c>
      <c r="H108" s="130">
        <f t="shared" si="20"/>
        <v>0</v>
      </c>
      <c r="I108" s="139">
        <f t="shared" si="21"/>
        <v>0</v>
      </c>
      <c r="J108" s="67">
        <f t="shared" si="22"/>
        <v>0</v>
      </c>
      <c r="K108" s="478"/>
      <c r="L108" s="487"/>
      <c r="M108" s="478">
        <f t="shared" si="17"/>
        <v>0</v>
      </c>
      <c r="N108" s="487"/>
      <c r="O108" s="478">
        <f t="shared" si="18"/>
        <v>0</v>
      </c>
      <c r="P108" s="478">
        <f t="shared" si="19"/>
        <v>0</v>
      </c>
    </row>
    <row r="109" spans="1:16">
      <c r="B109" s="160" t="str">
        <f t="shared" si="23"/>
        <v/>
      </c>
      <c r="C109" s="472">
        <f>IF(D93="","-",+C108+1)</f>
        <v>2032</v>
      </c>
      <c r="D109" s="63">
        <f>IF(F108+SUM(E$99:E108)=D$92,F108,D$92-SUM(E$99:E108))</f>
        <v>0</v>
      </c>
      <c r="E109" s="69">
        <f t="shared" si="24"/>
        <v>0</v>
      </c>
      <c r="F109" s="68">
        <f t="shared" si="25"/>
        <v>0</v>
      </c>
      <c r="G109" s="68">
        <f t="shared" si="26"/>
        <v>0</v>
      </c>
      <c r="H109" s="130">
        <f t="shared" si="20"/>
        <v>0</v>
      </c>
      <c r="I109" s="139">
        <f t="shared" si="21"/>
        <v>0</v>
      </c>
      <c r="J109" s="67">
        <f t="shared" si="22"/>
        <v>0</v>
      </c>
      <c r="K109" s="478"/>
      <c r="L109" s="487"/>
      <c r="M109" s="478">
        <f t="shared" si="17"/>
        <v>0</v>
      </c>
      <c r="N109" s="487"/>
      <c r="O109" s="478">
        <f t="shared" si="18"/>
        <v>0</v>
      </c>
      <c r="P109" s="478">
        <f t="shared" si="19"/>
        <v>0</v>
      </c>
    </row>
    <row r="110" spans="1:16">
      <c r="B110" s="160" t="str">
        <f t="shared" si="23"/>
        <v/>
      </c>
      <c r="C110" s="472">
        <f>IF(D93="","-",+C109+1)</f>
        <v>2033</v>
      </c>
      <c r="D110" s="63">
        <f>IF(F109+SUM(E$99:E109)=D$92,F109,D$92-SUM(E$99:E109))</f>
        <v>0</v>
      </c>
      <c r="E110" s="69">
        <f t="shared" si="24"/>
        <v>0</v>
      </c>
      <c r="F110" s="68">
        <f t="shared" si="25"/>
        <v>0</v>
      </c>
      <c r="G110" s="68">
        <f t="shared" si="26"/>
        <v>0</v>
      </c>
      <c r="H110" s="130">
        <f t="shared" si="20"/>
        <v>0</v>
      </c>
      <c r="I110" s="139">
        <f t="shared" si="21"/>
        <v>0</v>
      </c>
      <c r="J110" s="67">
        <f t="shared" si="22"/>
        <v>0</v>
      </c>
      <c r="K110" s="478"/>
      <c r="L110" s="487"/>
      <c r="M110" s="478">
        <f t="shared" si="17"/>
        <v>0</v>
      </c>
      <c r="N110" s="487"/>
      <c r="O110" s="478">
        <f t="shared" si="18"/>
        <v>0</v>
      </c>
      <c r="P110" s="478">
        <f t="shared" si="19"/>
        <v>0</v>
      </c>
    </row>
    <row r="111" spans="1:16">
      <c r="B111" s="160" t="str">
        <f t="shared" si="23"/>
        <v/>
      </c>
      <c r="C111" s="472">
        <f>IF(D93="","-",+C110+1)</f>
        <v>2034</v>
      </c>
      <c r="D111" s="63">
        <f>IF(F110+SUM(E$99:E110)=D$92,F110,D$92-SUM(E$99:E110))</f>
        <v>0</v>
      </c>
      <c r="E111" s="69">
        <f t="shared" si="24"/>
        <v>0</v>
      </c>
      <c r="F111" s="68">
        <f t="shared" si="25"/>
        <v>0</v>
      </c>
      <c r="G111" s="68">
        <f t="shared" si="26"/>
        <v>0</v>
      </c>
      <c r="H111" s="130">
        <f t="shared" si="20"/>
        <v>0</v>
      </c>
      <c r="I111" s="139">
        <f t="shared" si="21"/>
        <v>0</v>
      </c>
      <c r="J111" s="67">
        <f t="shared" si="22"/>
        <v>0</v>
      </c>
      <c r="K111" s="478"/>
      <c r="L111" s="487"/>
      <c r="M111" s="478">
        <f t="shared" si="17"/>
        <v>0</v>
      </c>
      <c r="N111" s="487"/>
      <c r="O111" s="478">
        <f t="shared" si="18"/>
        <v>0</v>
      </c>
      <c r="P111" s="478">
        <f t="shared" si="19"/>
        <v>0</v>
      </c>
    </row>
    <row r="112" spans="1:16">
      <c r="B112" s="160" t="str">
        <f t="shared" si="23"/>
        <v/>
      </c>
      <c r="C112" s="472">
        <f>IF(D93="","-",+C111+1)</f>
        <v>2035</v>
      </c>
      <c r="D112" s="63">
        <f>IF(F111+SUM(E$99:E111)=D$92,F111,D$92-SUM(E$99:E111))</f>
        <v>0</v>
      </c>
      <c r="E112" s="69">
        <f t="shared" si="24"/>
        <v>0</v>
      </c>
      <c r="F112" s="68">
        <f t="shared" si="25"/>
        <v>0</v>
      </c>
      <c r="G112" s="68">
        <f t="shared" si="26"/>
        <v>0</v>
      </c>
      <c r="H112" s="130">
        <f t="shared" si="20"/>
        <v>0</v>
      </c>
      <c r="I112" s="139">
        <f t="shared" si="21"/>
        <v>0</v>
      </c>
      <c r="J112" s="67">
        <f t="shared" si="22"/>
        <v>0</v>
      </c>
      <c r="K112" s="478"/>
      <c r="L112" s="487"/>
      <c r="M112" s="478">
        <f t="shared" si="17"/>
        <v>0</v>
      </c>
      <c r="N112" s="487"/>
      <c r="O112" s="478">
        <f t="shared" si="18"/>
        <v>0</v>
      </c>
      <c r="P112" s="478">
        <f t="shared" si="19"/>
        <v>0</v>
      </c>
    </row>
    <row r="113" spans="2:16">
      <c r="B113" s="160" t="str">
        <f t="shared" si="23"/>
        <v/>
      </c>
      <c r="C113" s="472">
        <f>IF(D93="","-",+C112+1)</f>
        <v>2036</v>
      </c>
      <c r="D113" s="63">
        <f>IF(F112+SUM(E$99:E112)=D$92,F112,D$92-SUM(E$99:E112))</f>
        <v>0</v>
      </c>
      <c r="E113" s="69">
        <f t="shared" si="24"/>
        <v>0</v>
      </c>
      <c r="F113" s="68">
        <f t="shared" si="25"/>
        <v>0</v>
      </c>
      <c r="G113" s="68">
        <f t="shared" si="26"/>
        <v>0</v>
      </c>
      <c r="H113" s="130">
        <f t="shared" si="20"/>
        <v>0</v>
      </c>
      <c r="I113" s="139">
        <f t="shared" si="21"/>
        <v>0</v>
      </c>
      <c r="J113" s="67">
        <f t="shared" si="22"/>
        <v>0</v>
      </c>
      <c r="K113" s="478"/>
      <c r="L113" s="487"/>
      <c r="M113" s="478">
        <f t="shared" si="17"/>
        <v>0</v>
      </c>
      <c r="N113" s="487"/>
      <c r="O113" s="478">
        <f t="shared" si="18"/>
        <v>0</v>
      </c>
      <c r="P113" s="478">
        <f t="shared" si="19"/>
        <v>0</v>
      </c>
    </row>
    <row r="114" spans="2:16">
      <c r="B114" s="160" t="str">
        <f t="shared" si="23"/>
        <v/>
      </c>
      <c r="C114" s="472">
        <f>IF(D93="","-",+C113+1)</f>
        <v>2037</v>
      </c>
      <c r="D114" s="63">
        <f>IF(F113+SUM(E$99:E113)=D$92,F113,D$92-SUM(E$99:E113))</f>
        <v>0</v>
      </c>
      <c r="E114" s="69">
        <f t="shared" si="24"/>
        <v>0</v>
      </c>
      <c r="F114" s="68">
        <f t="shared" si="25"/>
        <v>0</v>
      </c>
      <c r="G114" s="68">
        <f t="shared" si="26"/>
        <v>0</v>
      </c>
      <c r="H114" s="130">
        <f t="shared" si="20"/>
        <v>0</v>
      </c>
      <c r="I114" s="139">
        <f t="shared" si="21"/>
        <v>0</v>
      </c>
      <c r="J114" s="67">
        <f t="shared" si="22"/>
        <v>0</v>
      </c>
      <c r="K114" s="478"/>
      <c r="L114" s="487"/>
      <c r="M114" s="478">
        <f t="shared" si="17"/>
        <v>0</v>
      </c>
      <c r="N114" s="487"/>
      <c r="O114" s="478">
        <f t="shared" si="18"/>
        <v>0</v>
      </c>
      <c r="P114" s="478">
        <f t="shared" si="19"/>
        <v>0</v>
      </c>
    </row>
    <row r="115" spans="2:16">
      <c r="B115" s="160" t="str">
        <f t="shared" si="23"/>
        <v/>
      </c>
      <c r="C115" s="472">
        <f>IF(D93="","-",+C114+1)</f>
        <v>2038</v>
      </c>
      <c r="D115" s="63">
        <f>IF(F114+SUM(E$99:E114)=D$92,F114,D$92-SUM(E$99:E114))</f>
        <v>0</v>
      </c>
      <c r="E115" s="69">
        <f t="shared" si="24"/>
        <v>0</v>
      </c>
      <c r="F115" s="68">
        <f t="shared" si="25"/>
        <v>0</v>
      </c>
      <c r="G115" s="68">
        <f t="shared" si="26"/>
        <v>0</v>
      </c>
      <c r="H115" s="130">
        <f t="shared" si="20"/>
        <v>0</v>
      </c>
      <c r="I115" s="139">
        <f t="shared" si="21"/>
        <v>0</v>
      </c>
      <c r="J115" s="67">
        <f t="shared" si="22"/>
        <v>0</v>
      </c>
      <c r="K115" s="478"/>
      <c r="L115" s="487"/>
      <c r="M115" s="478">
        <f t="shared" si="17"/>
        <v>0</v>
      </c>
      <c r="N115" s="487"/>
      <c r="O115" s="478">
        <f t="shared" si="18"/>
        <v>0</v>
      </c>
      <c r="P115" s="478">
        <f t="shared" si="19"/>
        <v>0</v>
      </c>
    </row>
    <row r="116" spans="2:16">
      <c r="B116" s="160" t="str">
        <f t="shared" si="23"/>
        <v/>
      </c>
      <c r="C116" s="472">
        <f>IF(D93="","-",+C115+1)</f>
        <v>2039</v>
      </c>
      <c r="D116" s="63">
        <f>IF(F115+SUM(E$99:E115)=D$92,F115,D$92-SUM(E$99:E115))</f>
        <v>0</v>
      </c>
      <c r="E116" s="69">
        <f t="shared" si="24"/>
        <v>0</v>
      </c>
      <c r="F116" s="68">
        <f t="shared" si="25"/>
        <v>0</v>
      </c>
      <c r="G116" s="68">
        <f t="shared" si="26"/>
        <v>0</v>
      </c>
      <c r="H116" s="130">
        <f t="shared" si="20"/>
        <v>0</v>
      </c>
      <c r="I116" s="139">
        <f t="shared" si="21"/>
        <v>0</v>
      </c>
      <c r="J116" s="67">
        <f t="shared" si="22"/>
        <v>0</v>
      </c>
      <c r="K116" s="478"/>
      <c r="L116" s="487"/>
      <c r="M116" s="478">
        <f t="shared" si="17"/>
        <v>0</v>
      </c>
      <c r="N116" s="487"/>
      <c r="O116" s="478">
        <f t="shared" si="18"/>
        <v>0</v>
      </c>
      <c r="P116" s="478">
        <f t="shared" si="19"/>
        <v>0</v>
      </c>
    </row>
    <row r="117" spans="2:16">
      <c r="B117" s="160" t="str">
        <f t="shared" si="23"/>
        <v/>
      </c>
      <c r="C117" s="472">
        <f>IF(D93="","-",+C116+1)</f>
        <v>2040</v>
      </c>
      <c r="D117" s="63">
        <f>IF(F116+SUM(E$99:E116)=D$92,F116,D$92-SUM(E$99:E116))</f>
        <v>0</v>
      </c>
      <c r="E117" s="69">
        <f t="shared" si="24"/>
        <v>0</v>
      </c>
      <c r="F117" s="68">
        <f t="shared" si="25"/>
        <v>0</v>
      </c>
      <c r="G117" s="68">
        <f t="shared" si="26"/>
        <v>0</v>
      </c>
      <c r="H117" s="130">
        <f t="shared" si="20"/>
        <v>0</v>
      </c>
      <c r="I117" s="139">
        <f t="shared" si="21"/>
        <v>0</v>
      </c>
      <c r="J117" s="67">
        <f t="shared" si="22"/>
        <v>0</v>
      </c>
      <c r="K117" s="478"/>
      <c r="L117" s="487"/>
      <c r="M117" s="478">
        <f t="shared" si="17"/>
        <v>0</v>
      </c>
      <c r="N117" s="487"/>
      <c r="O117" s="478">
        <f t="shared" si="18"/>
        <v>0</v>
      </c>
      <c r="P117" s="478">
        <f t="shared" si="19"/>
        <v>0</v>
      </c>
    </row>
    <row r="118" spans="2:16">
      <c r="B118" s="160" t="str">
        <f t="shared" si="23"/>
        <v/>
      </c>
      <c r="C118" s="472">
        <f>IF(D93="","-",+C117+1)</f>
        <v>2041</v>
      </c>
      <c r="D118" s="63">
        <f>IF(F117+SUM(E$99:E117)=D$92,F117,D$92-SUM(E$99:E117))</f>
        <v>0</v>
      </c>
      <c r="E118" s="69">
        <f t="shared" si="24"/>
        <v>0</v>
      </c>
      <c r="F118" s="68">
        <f t="shared" si="25"/>
        <v>0</v>
      </c>
      <c r="G118" s="68">
        <f t="shared" si="26"/>
        <v>0</v>
      </c>
      <c r="H118" s="130">
        <f t="shared" si="20"/>
        <v>0</v>
      </c>
      <c r="I118" s="139">
        <f t="shared" si="21"/>
        <v>0</v>
      </c>
      <c r="J118" s="67">
        <f t="shared" si="22"/>
        <v>0</v>
      </c>
      <c r="K118" s="478"/>
      <c r="L118" s="487"/>
      <c r="M118" s="478">
        <f t="shared" si="17"/>
        <v>0</v>
      </c>
      <c r="N118" s="487"/>
      <c r="O118" s="478">
        <f t="shared" si="18"/>
        <v>0</v>
      </c>
      <c r="P118" s="478">
        <f t="shared" si="19"/>
        <v>0</v>
      </c>
    </row>
    <row r="119" spans="2:16">
      <c r="B119" s="160" t="str">
        <f t="shared" si="23"/>
        <v/>
      </c>
      <c r="C119" s="472">
        <f>IF(D93="","-",+C118+1)</f>
        <v>2042</v>
      </c>
      <c r="D119" s="63">
        <f>IF(F118+SUM(E$99:E118)=D$92,F118,D$92-SUM(E$99:E118))</f>
        <v>0</v>
      </c>
      <c r="E119" s="69">
        <f t="shared" si="24"/>
        <v>0</v>
      </c>
      <c r="F119" s="68">
        <f t="shared" si="25"/>
        <v>0</v>
      </c>
      <c r="G119" s="68">
        <f t="shared" si="26"/>
        <v>0</v>
      </c>
      <c r="H119" s="130">
        <f t="shared" si="20"/>
        <v>0</v>
      </c>
      <c r="I119" s="139">
        <f t="shared" si="21"/>
        <v>0</v>
      </c>
      <c r="J119" s="67">
        <f t="shared" si="22"/>
        <v>0</v>
      </c>
      <c r="K119" s="478"/>
      <c r="L119" s="487"/>
      <c r="M119" s="478">
        <f t="shared" si="17"/>
        <v>0</v>
      </c>
      <c r="N119" s="487"/>
      <c r="O119" s="478">
        <f t="shared" si="18"/>
        <v>0</v>
      </c>
      <c r="P119" s="478">
        <f t="shared" si="19"/>
        <v>0</v>
      </c>
    </row>
    <row r="120" spans="2:16">
      <c r="B120" s="160" t="str">
        <f t="shared" si="23"/>
        <v/>
      </c>
      <c r="C120" s="472">
        <f>IF(D93="","-",+C119+1)</f>
        <v>2043</v>
      </c>
      <c r="D120" s="63">
        <f>IF(F119+SUM(E$99:E119)=D$92,F119,D$92-SUM(E$99:E119))</f>
        <v>0</v>
      </c>
      <c r="E120" s="69">
        <f t="shared" si="24"/>
        <v>0</v>
      </c>
      <c r="F120" s="68">
        <f t="shared" si="25"/>
        <v>0</v>
      </c>
      <c r="G120" s="68">
        <f t="shared" si="26"/>
        <v>0</v>
      </c>
      <c r="H120" s="130">
        <f t="shared" si="20"/>
        <v>0</v>
      </c>
      <c r="I120" s="139">
        <f t="shared" si="21"/>
        <v>0</v>
      </c>
      <c r="J120" s="67">
        <f t="shared" si="22"/>
        <v>0</v>
      </c>
      <c r="K120" s="478"/>
      <c r="L120" s="487"/>
      <c r="M120" s="478">
        <f t="shared" si="17"/>
        <v>0</v>
      </c>
      <c r="N120" s="487"/>
      <c r="O120" s="478">
        <f t="shared" si="18"/>
        <v>0</v>
      </c>
      <c r="P120" s="478">
        <f t="shared" si="19"/>
        <v>0</v>
      </c>
    </row>
    <row r="121" spans="2:16">
      <c r="B121" s="160" t="str">
        <f t="shared" si="23"/>
        <v/>
      </c>
      <c r="C121" s="472">
        <f>IF(D93="","-",+C120+1)</f>
        <v>2044</v>
      </c>
      <c r="D121" s="63">
        <f>IF(F120+SUM(E$99:E120)=D$92,F120,D$92-SUM(E$99:E120))</f>
        <v>0</v>
      </c>
      <c r="E121" s="69">
        <f t="shared" si="24"/>
        <v>0</v>
      </c>
      <c r="F121" s="68">
        <f t="shared" si="25"/>
        <v>0</v>
      </c>
      <c r="G121" s="68">
        <f t="shared" si="26"/>
        <v>0</v>
      </c>
      <c r="H121" s="130">
        <f t="shared" si="20"/>
        <v>0</v>
      </c>
      <c r="I121" s="139">
        <f t="shared" si="21"/>
        <v>0</v>
      </c>
      <c r="J121" s="67">
        <f t="shared" si="22"/>
        <v>0</v>
      </c>
      <c r="K121" s="478"/>
      <c r="L121" s="487"/>
      <c r="M121" s="478">
        <f t="shared" si="17"/>
        <v>0</v>
      </c>
      <c r="N121" s="487"/>
      <c r="O121" s="478">
        <f t="shared" si="18"/>
        <v>0</v>
      </c>
      <c r="P121" s="478">
        <f t="shared" si="19"/>
        <v>0</v>
      </c>
    </row>
    <row r="122" spans="2:16">
      <c r="B122" s="160" t="str">
        <f t="shared" si="23"/>
        <v/>
      </c>
      <c r="C122" s="472">
        <f>IF(D93="","-",+C121+1)</f>
        <v>2045</v>
      </c>
      <c r="D122" s="63">
        <f>IF(F121+SUM(E$99:E121)=D$92,F121,D$92-SUM(E$99:E121))</f>
        <v>0</v>
      </c>
      <c r="E122" s="69">
        <f t="shared" si="24"/>
        <v>0</v>
      </c>
      <c r="F122" s="68">
        <f t="shared" si="25"/>
        <v>0</v>
      </c>
      <c r="G122" s="68">
        <f t="shared" si="26"/>
        <v>0</v>
      </c>
      <c r="H122" s="130">
        <f t="shared" si="20"/>
        <v>0</v>
      </c>
      <c r="I122" s="139">
        <f t="shared" si="21"/>
        <v>0</v>
      </c>
      <c r="J122" s="67">
        <f t="shared" si="22"/>
        <v>0</v>
      </c>
      <c r="K122" s="478"/>
      <c r="L122" s="487"/>
      <c r="M122" s="478">
        <f t="shared" si="17"/>
        <v>0</v>
      </c>
      <c r="N122" s="487"/>
      <c r="O122" s="478">
        <f t="shared" si="18"/>
        <v>0</v>
      </c>
      <c r="P122" s="478">
        <f t="shared" si="19"/>
        <v>0</v>
      </c>
    </row>
    <row r="123" spans="2:16">
      <c r="B123" s="160" t="str">
        <f t="shared" si="23"/>
        <v/>
      </c>
      <c r="C123" s="472">
        <f>IF(D93="","-",+C122+1)</f>
        <v>2046</v>
      </c>
      <c r="D123" s="63">
        <f>IF(F122+SUM(E$99:E122)=D$92,F122,D$92-SUM(E$99:E122))</f>
        <v>0</v>
      </c>
      <c r="E123" s="69">
        <f t="shared" si="24"/>
        <v>0</v>
      </c>
      <c r="F123" s="68">
        <f t="shared" si="25"/>
        <v>0</v>
      </c>
      <c r="G123" s="68">
        <f t="shared" si="26"/>
        <v>0</v>
      </c>
      <c r="H123" s="130">
        <f t="shared" si="20"/>
        <v>0</v>
      </c>
      <c r="I123" s="139">
        <f t="shared" si="21"/>
        <v>0</v>
      </c>
      <c r="J123" s="67">
        <f t="shared" si="22"/>
        <v>0</v>
      </c>
      <c r="K123" s="478"/>
      <c r="L123" s="487"/>
      <c r="M123" s="478">
        <f t="shared" si="17"/>
        <v>0</v>
      </c>
      <c r="N123" s="487"/>
      <c r="O123" s="478">
        <f t="shared" si="18"/>
        <v>0</v>
      </c>
      <c r="P123" s="478">
        <f t="shared" si="19"/>
        <v>0</v>
      </c>
    </row>
    <row r="124" spans="2:16">
      <c r="B124" s="160" t="str">
        <f t="shared" si="23"/>
        <v/>
      </c>
      <c r="C124" s="472">
        <f>IF(D93="","-",+C123+1)</f>
        <v>2047</v>
      </c>
      <c r="D124" s="63">
        <f>IF(F123+SUM(E$99:E123)=D$92,F123,D$92-SUM(E$99:E123))</f>
        <v>0</v>
      </c>
      <c r="E124" s="69">
        <f t="shared" si="24"/>
        <v>0</v>
      </c>
      <c r="F124" s="68">
        <f t="shared" si="25"/>
        <v>0</v>
      </c>
      <c r="G124" s="68">
        <f t="shared" si="26"/>
        <v>0</v>
      </c>
      <c r="H124" s="130">
        <f t="shared" si="20"/>
        <v>0</v>
      </c>
      <c r="I124" s="139">
        <f t="shared" si="21"/>
        <v>0</v>
      </c>
      <c r="J124" s="67">
        <f t="shared" si="22"/>
        <v>0</v>
      </c>
      <c r="K124" s="478"/>
      <c r="L124" s="487"/>
      <c r="M124" s="478">
        <f t="shared" si="17"/>
        <v>0</v>
      </c>
      <c r="N124" s="487"/>
      <c r="O124" s="478">
        <f t="shared" si="18"/>
        <v>0</v>
      </c>
      <c r="P124" s="478">
        <f t="shared" si="19"/>
        <v>0</v>
      </c>
    </row>
    <row r="125" spans="2:16">
      <c r="B125" s="160" t="str">
        <f t="shared" si="23"/>
        <v/>
      </c>
      <c r="C125" s="472">
        <f>IF(D93="","-",+C124+1)</f>
        <v>2048</v>
      </c>
      <c r="D125" s="63">
        <f>IF(F124+SUM(E$99:E124)=D$92,F124,D$92-SUM(E$99:E124))</f>
        <v>0</v>
      </c>
      <c r="E125" s="69">
        <f t="shared" si="24"/>
        <v>0</v>
      </c>
      <c r="F125" s="68">
        <f t="shared" si="25"/>
        <v>0</v>
      </c>
      <c r="G125" s="68">
        <f t="shared" si="26"/>
        <v>0</v>
      </c>
      <c r="H125" s="130">
        <f t="shared" si="20"/>
        <v>0</v>
      </c>
      <c r="I125" s="139">
        <f t="shared" si="21"/>
        <v>0</v>
      </c>
      <c r="J125" s="67">
        <f t="shared" si="22"/>
        <v>0</v>
      </c>
      <c r="K125" s="478"/>
      <c r="L125" s="487"/>
      <c r="M125" s="478">
        <f t="shared" si="17"/>
        <v>0</v>
      </c>
      <c r="N125" s="487"/>
      <c r="O125" s="478">
        <f t="shared" si="18"/>
        <v>0</v>
      </c>
      <c r="P125" s="478">
        <f t="shared" si="19"/>
        <v>0</v>
      </c>
    </row>
    <row r="126" spans="2:16">
      <c r="B126" s="160" t="str">
        <f t="shared" si="23"/>
        <v/>
      </c>
      <c r="C126" s="472">
        <f>IF(D93="","-",+C125+1)</f>
        <v>2049</v>
      </c>
      <c r="D126" s="63">
        <f>IF(F125+SUM(E$99:E125)=D$92,F125,D$92-SUM(E$99:E125))</f>
        <v>0</v>
      </c>
      <c r="E126" s="69">
        <f t="shared" si="24"/>
        <v>0</v>
      </c>
      <c r="F126" s="68">
        <f t="shared" si="25"/>
        <v>0</v>
      </c>
      <c r="G126" s="68">
        <f t="shared" si="26"/>
        <v>0</v>
      </c>
      <c r="H126" s="130">
        <f t="shared" si="20"/>
        <v>0</v>
      </c>
      <c r="I126" s="139">
        <f t="shared" si="21"/>
        <v>0</v>
      </c>
      <c r="J126" s="67">
        <f t="shared" si="22"/>
        <v>0</v>
      </c>
      <c r="K126" s="478"/>
      <c r="L126" s="487"/>
      <c r="M126" s="478">
        <f t="shared" si="17"/>
        <v>0</v>
      </c>
      <c r="N126" s="487"/>
      <c r="O126" s="478">
        <f t="shared" si="18"/>
        <v>0</v>
      </c>
      <c r="P126" s="478">
        <f t="shared" si="19"/>
        <v>0</v>
      </c>
    </row>
    <row r="127" spans="2:16">
      <c r="B127" s="160" t="str">
        <f t="shared" si="23"/>
        <v/>
      </c>
      <c r="C127" s="472">
        <f>IF(D93="","-",+C126+1)</f>
        <v>2050</v>
      </c>
      <c r="D127" s="63">
        <f>IF(F126+SUM(E$99:E126)=D$92,F126,D$92-SUM(E$99:E126))</f>
        <v>0</v>
      </c>
      <c r="E127" s="69">
        <f t="shared" si="24"/>
        <v>0</v>
      </c>
      <c r="F127" s="68">
        <f t="shared" si="25"/>
        <v>0</v>
      </c>
      <c r="G127" s="68">
        <f t="shared" si="26"/>
        <v>0</v>
      </c>
      <c r="H127" s="130">
        <f t="shared" si="20"/>
        <v>0</v>
      </c>
      <c r="I127" s="139">
        <f t="shared" si="21"/>
        <v>0</v>
      </c>
      <c r="J127" s="67">
        <f t="shared" si="22"/>
        <v>0</v>
      </c>
      <c r="K127" s="478"/>
      <c r="L127" s="487"/>
      <c r="M127" s="478">
        <f t="shared" si="17"/>
        <v>0</v>
      </c>
      <c r="N127" s="487"/>
      <c r="O127" s="478">
        <f t="shared" si="18"/>
        <v>0</v>
      </c>
      <c r="P127" s="478">
        <f t="shared" si="19"/>
        <v>0</v>
      </c>
    </row>
    <row r="128" spans="2:16">
      <c r="B128" s="160" t="str">
        <f t="shared" si="23"/>
        <v/>
      </c>
      <c r="C128" s="472">
        <f>IF(D93="","-",+C127+1)</f>
        <v>2051</v>
      </c>
      <c r="D128" s="63">
        <f>IF(F127+SUM(E$99:E127)=D$92,F127,D$92-SUM(E$99:E127))</f>
        <v>0</v>
      </c>
      <c r="E128" s="69">
        <f t="shared" si="24"/>
        <v>0</v>
      </c>
      <c r="F128" s="68">
        <f t="shared" si="25"/>
        <v>0</v>
      </c>
      <c r="G128" s="68">
        <f t="shared" si="26"/>
        <v>0</v>
      </c>
      <c r="H128" s="130">
        <f t="shared" si="20"/>
        <v>0</v>
      </c>
      <c r="I128" s="139">
        <f t="shared" si="21"/>
        <v>0</v>
      </c>
      <c r="J128" s="67">
        <f t="shared" si="22"/>
        <v>0</v>
      </c>
      <c r="K128" s="478"/>
      <c r="L128" s="487"/>
      <c r="M128" s="478">
        <f t="shared" si="17"/>
        <v>0</v>
      </c>
      <c r="N128" s="487"/>
      <c r="O128" s="478">
        <f t="shared" si="18"/>
        <v>0</v>
      </c>
      <c r="P128" s="478">
        <f t="shared" si="19"/>
        <v>0</v>
      </c>
    </row>
    <row r="129" spans="2:16">
      <c r="B129" s="160" t="str">
        <f t="shared" si="23"/>
        <v/>
      </c>
      <c r="C129" s="472">
        <f>IF(D93="","-",+C128+1)</f>
        <v>2052</v>
      </c>
      <c r="D129" s="63">
        <f>IF(F128+SUM(E$99:E128)=D$92,F128,D$92-SUM(E$99:E128))</f>
        <v>0</v>
      </c>
      <c r="E129" s="69">
        <f t="shared" si="24"/>
        <v>0</v>
      </c>
      <c r="F129" s="68">
        <f t="shared" si="25"/>
        <v>0</v>
      </c>
      <c r="G129" s="68">
        <f t="shared" si="26"/>
        <v>0</v>
      </c>
      <c r="H129" s="130">
        <f t="shared" si="20"/>
        <v>0</v>
      </c>
      <c r="I129" s="139">
        <f t="shared" si="21"/>
        <v>0</v>
      </c>
      <c r="J129" s="67">
        <f t="shared" si="22"/>
        <v>0</v>
      </c>
      <c r="K129" s="478"/>
      <c r="L129" s="487"/>
      <c r="M129" s="478">
        <f t="shared" si="17"/>
        <v>0</v>
      </c>
      <c r="N129" s="487"/>
      <c r="O129" s="478">
        <f t="shared" si="18"/>
        <v>0</v>
      </c>
      <c r="P129" s="478">
        <f t="shared" si="19"/>
        <v>0</v>
      </c>
    </row>
    <row r="130" spans="2:16">
      <c r="B130" s="160" t="str">
        <f t="shared" si="23"/>
        <v/>
      </c>
      <c r="C130" s="472">
        <f>IF(D93="","-",+C129+1)</f>
        <v>2053</v>
      </c>
      <c r="D130" s="63">
        <f>IF(F129+SUM(E$99:E129)=D$92,F129,D$92-SUM(E$99:E129))</f>
        <v>0</v>
      </c>
      <c r="E130" s="69">
        <f t="shared" si="24"/>
        <v>0</v>
      </c>
      <c r="F130" s="68">
        <f t="shared" si="25"/>
        <v>0</v>
      </c>
      <c r="G130" s="68">
        <f t="shared" si="26"/>
        <v>0</v>
      </c>
      <c r="H130" s="130">
        <f t="shared" si="20"/>
        <v>0</v>
      </c>
      <c r="I130" s="139">
        <f t="shared" si="21"/>
        <v>0</v>
      </c>
      <c r="J130" s="67">
        <f t="shared" si="22"/>
        <v>0</v>
      </c>
      <c r="K130" s="478"/>
      <c r="L130" s="487"/>
      <c r="M130" s="478">
        <f t="shared" si="17"/>
        <v>0</v>
      </c>
      <c r="N130" s="487"/>
      <c r="O130" s="478">
        <f t="shared" si="18"/>
        <v>0</v>
      </c>
      <c r="P130" s="478">
        <f t="shared" si="19"/>
        <v>0</v>
      </c>
    </row>
    <row r="131" spans="2:16">
      <c r="B131" s="160" t="str">
        <f t="shared" si="23"/>
        <v/>
      </c>
      <c r="C131" s="472">
        <f>IF(D93="","-",+C130+1)</f>
        <v>2054</v>
      </c>
      <c r="D131" s="63">
        <f>IF(F130+SUM(E$99:E130)=D$92,F130,D$92-SUM(E$99:E130))</f>
        <v>0</v>
      </c>
      <c r="E131" s="69">
        <f t="shared" si="24"/>
        <v>0</v>
      </c>
      <c r="F131" s="68">
        <f t="shared" si="25"/>
        <v>0</v>
      </c>
      <c r="G131" s="68">
        <f t="shared" si="26"/>
        <v>0</v>
      </c>
      <c r="H131" s="130">
        <f t="shared" si="20"/>
        <v>0</v>
      </c>
      <c r="I131" s="139">
        <f t="shared" si="21"/>
        <v>0</v>
      </c>
      <c r="J131" s="67">
        <f t="shared" ref="J131:J154" si="27">+I541-H541</f>
        <v>0</v>
      </c>
      <c r="K131" s="478"/>
      <c r="L131" s="487"/>
      <c r="M131" s="478">
        <f t="shared" ref="M131:M154" si="28">IF(L541&lt;&gt;0,+H541-L541,0)</f>
        <v>0</v>
      </c>
      <c r="N131" s="487"/>
      <c r="O131" s="478">
        <f t="shared" ref="O131:O154" si="29">IF(N541&lt;&gt;0,+I541-N541,0)</f>
        <v>0</v>
      </c>
      <c r="P131" s="478">
        <f t="shared" ref="P131:P154" si="30">+O541-M541</f>
        <v>0</v>
      </c>
    </row>
    <row r="132" spans="2:16">
      <c r="B132" s="160" t="str">
        <f t="shared" si="23"/>
        <v/>
      </c>
      <c r="C132" s="472">
        <f>IF(D93="","-",+C131+1)</f>
        <v>2055</v>
      </c>
      <c r="D132" s="63">
        <f>IF(F131+SUM(E$99:E131)=D$92,F131,D$92-SUM(E$99:E131))</f>
        <v>0</v>
      </c>
      <c r="E132" s="69">
        <f t="shared" si="24"/>
        <v>0</v>
      </c>
      <c r="F132" s="68">
        <f t="shared" si="25"/>
        <v>0</v>
      </c>
      <c r="G132" s="68">
        <f t="shared" si="26"/>
        <v>0</v>
      </c>
      <c r="H132" s="130">
        <f t="shared" si="20"/>
        <v>0</v>
      </c>
      <c r="I132" s="139">
        <f t="shared" si="21"/>
        <v>0</v>
      </c>
      <c r="J132" s="67">
        <f t="shared" si="27"/>
        <v>0</v>
      </c>
      <c r="K132" s="478"/>
      <c r="L132" s="487"/>
      <c r="M132" s="478">
        <f t="shared" si="28"/>
        <v>0</v>
      </c>
      <c r="N132" s="487"/>
      <c r="O132" s="478">
        <f t="shared" si="29"/>
        <v>0</v>
      </c>
      <c r="P132" s="478">
        <f t="shared" si="30"/>
        <v>0</v>
      </c>
    </row>
    <row r="133" spans="2:16">
      <c r="B133" s="160" t="str">
        <f t="shared" si="23"/>
        <v/>
      </c>
      <c r="C133" s="472">
        <f>IF(D93="","-",+C132+1)</f>
        <v>2056</v>
      </c>
      <c r="D133" s="63">
        <f>IF(F132+SUM(E$99:E132)=D$92,F132,D$92-SUM(E$99:E132))</f>
        <v>0</v>
      </c>
      <c r="E133" s="69">
        <f t="shared" si="24"/>
        <v>0</v>
      </c>
      <c r="F133" s="68">
        <f t="shared" si="25"/>
        <v>0</v>
      </c>
      <c r="G133" s="68">
        <f t="shared" si="26"/>
        <v>0</v>
      </c>
      <c r="H133" s="130">
        <f t="shared" si="20"/>
        <v>0</v>
      </c>
      <c r="I133" s="139">
        <f t="shared" si="21"/>
        <v>0</v>
      </c>
      <c r="J133" s="67">
        <f t="shared" si="27"/>
        <v>0</v>
      </c>
      <c r="K133" s="478"/>
      <c r="L133" s="487"/>
      <c r="M133" s="478">
        <f t="shared" si="28"/>
        <v>0</v>
      </c>
      <c r="N133" s="487"/>
      <c r="O133" s="478">
        <f t="shared" si="29"/>
        <v>0</v>
      </c>
      <c r="P133" s="478">
        <f t="shared" si="30"/>
        <v>0</v>
      </c>
    </row>
    <row r="134" spans="2:16">
      <c r="B134" s="160" t="str">
        <f t="shared" si="23"/>
        <v/>
      </c>
      <c r="C134" s="472">
        <f>IF(D93="","-",+C133+1)</f>
        <v>2057</v>
      </c>
      <c r="D134" s="63">
        <f>IF(F133+SUM(E$99:E133)=D$92,F133,D$92-SUM(E$99:E133))</f>
        <v>0</v>
      </c>
      <c r="E134" s="69">
        <f t="shared" si="24"/>
        <v>0</v>
      </c>
      <c r="F134" s="68">
        <f t="shared" si="25"/>
        <v>0</v>
      </c>
      <c r="G134" s="68">
        <f t="shared" si="26"/>
        <v>0</v>
      </c>
      <c r="H134" s="130">
        <f t="shared" si="20"/>
        <v>0</v>
      </c>
      <c r="I134" s="139">
        <f t="shared" si="21"/>
        <v>0</v>
      </c>
      <c r="J134" s="67">
        <f t="shared" si="27"/>
        <v>0</v>
      </c>
      <c r="K134" s="478"/>
      <c r="L134" s="487"/>
      <c r="M134" s="478">
        <f t="shared" si="28"/>
        <v>0</v>
      </c>
      <c r="N134" s="487"/>
      <c r="O134" s="478">
        <f t="shared" si="29"/>
        <v>0</v>
      </c>
      <c r="P134" s="478">
        <f t="shared" si="30"/>
        <v>0</v>
      </c>
    </row>
    <row r="135" spans="2:16">
      <c r="B135" s="160" t="str">
        <f t="shared" si="23"/>
        <v/>
      </c>
      <c r="C135" s="472">
        <f>IF(D93="","-",+C134+1)</f>
        <v>2058</v>
      </c>
      <c r="D135" s="63">
        <f>IF(F134+SUM(E$99:E134)=D$92,F134,D$92-SUM(E$99:E134))</f>
        <v>0</v>
      </c>
      <c r="E135" s="69">
        <f t="shared" si="24"/>
        <v>0</v>
      </c>
      <c r="F135" s="68">
        <f t="shared" si="25"/>
        <v>0</v>
      </c>
      <c r="G135" s="68">
        <f t="shared" si="26"/>
        <v>0</v>
      </c>
      <c r="H135" s="130">
        <f t="shared" si="20"/>
        <v>0</v>
      </c>
      <c r="I135" s="139">
        <f t="shared" si="21"/>
        <v>0</v>
      </c>
      <c r="J135" s="67">
        <f t="shared" si="27"/>
        <v>0</v>
      </c>
      <c r="K135" s="478"/>
      <c r="L135" s="487"/>
      <c r="M135" s="478">
        <f t="shared" si="28"/>
        <v>0</v>
      </c>
      <c r="N135" s="487"/>
      <c r="O135" s="478">
        <f t="shared" si="29"/>
        <v>0</v>
      </c>
      <c r="P135" s="478">
        <f t="shared" si="30"/>
        <v>0</v>
      </c>
    </row>
    <row r="136" spans="2:16">
      <c r="B136" s="160" t="str">
        <f t="shared" si="23"/>
        <v/>
      </c>
      <c r="C136" s="472">
        <f>IF(D93="","-",+C135+1)</f>
        <v>2059</v>
      </c>
      <c r="D136" s="63">
        <f>IF(F135+SUM(E$99:E135)=D$92,F135,D$92-SUM(E$99:E135))</f>
        <v>0</v>
      </c>
      <c r="E136" s="69">
        <f t="shared" si="24"/>
        <v>0</v>
      </c>
      <c r="F136" s="68">
        <f t="shared" si="25"/>
        <v>0</v>
      </c>
      <c r="G136" s="68">
        <f t="shared" si="26"/>
        <v>0</v>
      </c>
      <c r="H136" s="130">
        <f t="shared" si="20"/>
        <v>0</v>
      </c>
      <c r="I136" s="139">
        <f t="shared" si="21"/>
        <v>0</v>
      </c>
      <c r="J136" s="67">
        <f t="shared" si="27"/>
        <v>0</v>
      </c>
      <c r="K136" s="478"/>
      <c r="L136" s="487"/>
      <c r="M136" s="478">
        <f t="shared" si="28"/>
        <v>0</v>
      </c>
      <c r="N136" s="487"/>
      <c r="O136" s="478">
        <f t="shared" si="29"/>
        <v>0</v>
      </c>
      <c r="P136" s="478">
        <f t="shared" si="30"/>
        <v>0</v>
      </c>
    </row>
    <row r="137" spans="2:16">
      <c r="B137" s="160" t="str">
        <f t="shared" si="23"/>
        <v/>
      </c>
      <c r="C137" s="472">
        <f>IF(D93="","-",+C136+1)</f>
        <v>2060</v>
      </c>
      <c r="D137" s="63">
        <f>IF(F136+SUM(E$99:E136)=D$92,F136,D$92-SUM(E$99:E136))</f>
        <v>0</v>
      </c>
      <c r="E137" s="69">
        <f t="shared" si="24"/>
        <v>0</v>
      </c>
      <c r="F137" s="68">
        <f t="shared" si="25"/>
        <v>0</v>
      </c>
      <c r="G137" s="68">
        <f t="shared" si="26"/>
        <v>0</v>
      </c>
      <c r="H137" s="130">
        <f t="shared" si="20"/>
        <v>0</v>
      </c>
      <c r="I137" s="139">
        <f t="shared" si="21"/>
        <v>0</v>
      </c>
      <c r="J137" s="67">
        <f t="shared" si="27"/>
        <v>0</v>
      </c>
      <c r="K137" s="478"/>
      <c r="L137" s="487"/>
      <c r="M137" s="478">
        <f t="shared" si="28"/>
        <v>0</v>
      </c>
      <c r="N137" s="487"/>
      <c r="O137" s="478">
        <f t="shared" si="29"/>
        <v>0</v>
      </c>
      <c r="P137" s="478">
        <f t="shared" si="30"/>
        <v>0</v>
      </c>
    </row>
    <row r="138" spans="2:16">
      <c r="B138" s="160" t="str">
        <f t="shared" si="23"/>
        <v/>
      </c>
      <c r="C138" s="472">
        <f>IF(D93="","-",+C137+1)</f>
        <v>2061</v>
      </c>
      <c r="D138" s="63">
        <f>IF(F137+SUM(E$99:E137)=D$92,F137,D$92-SUM(E$99:E137))</f>
        <v>0</v>
      </c>
      <c r="E138" s="69">
        <f t="shared" si="24"/>
        <v>0</v>
      </c>
      <c r="F138" s="68">
        <f t="shared" si="25"/>
        <v>0</v>
      </c>
      <c r="G138" s="68">
        <f t="shared" si="26"/>
        <v>0</v>
      </c>
      <c r="H138" s="130">
        <f t="shared" si="20"/>
        <v>0</v>
      </c>
      <c r="I138" s="139">
        <f t="shared" si="21"/>
        <v>0</v>
      </c>
      <c r="J138" s="67">
        <f t="shared" si="27"/>
        <v>0</v>
      </c>
      <c r="K138" s="478"/>
      <c r="L138" s="487"/>
      <c r="M138" s="478">
        <f t="shared" si="28"/>
        <v>0</v>
      </c>
      <c r="N138" s="487"/>
      <c r="O138" s="478">
        <f t="shared" si="29"/>
        <v>0</v>
      </c>
      <c r="P138" s="478">
        <f t="shared" si="30"/>
        <v>0</v>
      </c>
    </row>
    <row r="139" spans="2:16">
      <c r="B139" s="160" t="str">
        <f t="shared" si="23"/>
        <v/>
      </c>
      <c r="C139" s="472">
        <f>IF(D93="","-",+C138+1)</f>
        <v>2062</v>
      </c>
      <c r="D139" s="63">
        <f>IF(F138+SUM(E$99:E138)=D$92,F138,D$92-SUM(E$99:E138))</f>
        <v>0</v>
      </c>
      <c r="E139" s="69">
        <f t="shared" si="24"/>
        <v>0</v>
      </c>
      <c r="F139" s="68">
        <f t="shared" si="25"/>
        <v>0</v>
      </c>
      <c r="G139" s="68">
        <f t="shared" si="26"/>
        <v>0</v>
      </c>
      <c r="H139" s="130">
        <f t="shared" si="20"/>
        <v>0</v>
      </c>
      <c r="I139" s="139">
        <f t="shared" si="21"/>
        <v>0</v>
      </c>
      <c r="J139" s="67">
        <f t="shared" si="27"/>
        <v>0</v>
      </c>
      <c r="K139" s="478"/>
      <c r="L139" s="487"/>
      <c r="M139" s="478">
        <f t="shared" si="28"/>
        <v>0</v>
      </c>
      <c r="N139" s="487"/>
      <c r="O139" s="478">
        <f t="shared" si="29"/>
        <v>0</v>
      </c>
      <c r="P139" s="478">
        <f t="shared" si="30"/>
        <v>0</v>
      </c>
    </row>
    <row r="140" spans="2:16">
      <c r="B140" s="160" t="str">
        <f t="shared" si="23"/>
        <v/>
      </c>
      <c r="C140" s="472">
        <f>IF(D93="","-",+C139+1)</f>
        <v>2063</v>
      </c>
      <c r="D140" s="63">
        <f>IF(F139+SUM(E$99:E139)=D$92,F139,D$92-SUM(E$99:E139))</f>
        <v>0</v>
      </c>
      <c r="E140" s="69">
        <f t="shared" si="24"/>
        <v>0</v>
      </c>
      <c r="F140" s="68">
        <f t="shared" si="25"/>
        <v>0</v>
      </c>
      <c r="G140" s="68">
        <f t="shared" si="26"/>
        <v>0</v>
      </c>
      <c r="H140" s="130">
        <f t="shared" si="20"/>
        <v>0</v>
      </c>
      <c r="I140" s="139">
        <f t="shared" si="21"/>
        <v>0</v>
      </c>
      <c r="J140" s="67">
        <f t="shared" si="27"/>
        <v>0</v>
      </c>
      <c r="K140" s="478"/>
      <c r="L140" s="487"/>
      <c r="M140" s="478">
        <f t="shared" si="28"/>
        <v>0</v>
      </c>
      <c r="N140" s="487"/>
      <c r="O140" s="478">
        <f t="shared" si="29"/>
        <v>0</v>
      </c>
      <c r="P140" s="478">
        <f t="shared" si="30"/>
        <v>0</v>
      </c>
    </row>
    <row r="141" spans="2:16">
      <c r="B141" s="160" t="str">
        <f t="shared" si="23"/>
        <v/>
      </c>
      <c r="C141" s="472">
        <f>IF(D93="","-",+C140+1)</f>
        <v>2064</v>
      </c>
      <c r="D141" s="63">
        <f>IF(F140+SUM(E$99:E140)=D$92,F140,D$92-SUM(E$99:E140))</f>
        <v>0</v>
      </c>
      <c r="E141" s="69">
        <f t="shared" si="24"/>
        <v>0</v>
      </c>
      <c r="F141" s="68">
        <f t="shared" si="25"/>
        <v>0</v>
      </c>
      <c r="G141" s="68">
        <f t="shared" si="26"/>
        <v>0</v>
      </c>
      <c r="H141" s="130">
        <f t="shared" si="20"/>
        <v>0</v>
      </c>
      <c r="I141" s="139">
        <f t="shared" si="21"/>
        <v>0</v>
      </c>
      <c r="J141" s="67">
        <f t="shared" si="27"/>
        <v>0</v>
      </c>
      <c r="K141" s="478"/>
      <c r="L141" s="487"/>
      <c r="M141" s="478">
        <f t="shared" si="28"/>
        <v>0</v>
      </c>
      <c r="N141" s="487"/>
      <c r="O141" s="478">
        <f t="shared" si="29"/>
        <v>0</v>
      </c>
      <c r="P141" s="478">
        <f t="shared" si="30"/>
        <v>0</v>
      </c>
    </row>
    <row r="142" spans="2:16">
      <c r="B142" s="160" t="str">
        <f t="shared" si="23"/>
        <v/>
      </c>
      <c r="C142" s="472">
        <f>IF(D93="","-",+C141+1)</f>
        <v>2065</v>
      </c>
      <c r="D142" s="63">
        <f>IF(F141+SUM(E$99:E141)=D$92,F141,D$92-SUM(E$99:E141))</f>
        <v>0</v>
      </c>
      <c r="E142" s="69">
        <f t="shared" si="24"/>
        <v>0</v>
      </c>
      <c r="F142" s="68">
        <f t="shared" si="25"/>
        <v>0</v>
      </c>
      <c r="G142" s="68">
        <f t="shared" si="26"/>
        <v>0</v>
      </c>
      <c r="H142" s="130">
        <f t="shared" si="20"/>
        <v>0</v>
      </c>
      <c r="I142" s="139">
        <f t="shared" si="21"/>
        <v>0</v>
      </c>
      <c r="J142" s="67">
        <f t="shared" si="27"/>
        <v>0</v>
      </c>
      <c r="K142" s="478"/>
      <c r="L142" s="487"/>
      <c r="M142" s="478">
        <f t="shared" si="28"/>
        <v>0</v>
      </c>
      <c r="N142" s="487"/>
      <c r="O142" s="478">
        <f t="shared" si="29"/>
        <v>0</v>
      </c>
      <c r="P142" s="478">
        <f t="shared" si="30"/>
        <v>0</v>
      </c>
    </row>
    <row r="143" spans="2:16">
      <c r="B143" s="160" t="str">
        <f t="shared" si="23"/>
        <v/>
      </c>
      <c r="C143" s="472">
        <f>IF(D93="","-",+C142+1)</f>
        <v>2066</v>
      </c>
      <c r="D143" s="63">
        <f>IF(F142+SUM(E$99:E142)=D$92,F142,D$92-SUM(E$99:E142))</f>
        <v>0</v>
      </c>
      <c r="E143" s="69">
        <f t="shared" si="24"/>
        <v>0</v>
      </c>
      <c r="F143" s="68">
        <f t="shared" si="25"/>
        <v>0</v>
      </c>
      <c r="G143" s="68">
        <f t="shared" si="26"/>
        <v>0</v>
      </c>
      <c r="H143" s="130">
        <f t="shared" si="20"/>
        <v>0</v>
      </c>
      <c r="I143" s="139">
        <f t="shared" si="21"/>
        <v>0</v>
      </c>
      <c r="J143" s="67">
        <f t="shared" si="27"/>
        <v>0</v>
      </c>
      <c r="K143" s="478"/>
      <c r="L143" s="487"/>
      <c r="M143" s="478">
        <f t="shared" si="28"/>
        <v>0</v>
      </c>
      <c r="N143" s="487"/>
      <c r="O143" s="478">
        <f t="shared" si="29"/>
        <v>0</v>
      </c>
      <c r="P143" s="478">
        <f t="shared" si="30"/>
        <v>0</v>
      </c>
    </row>
    <row r="144" spans="2:16">
      <c r="B144" s="160" t="str">
        <f t="shared" si="23"/>
        <v/>
      </c>
      <c r="C144" s="472">
        <f>IF(D93="","-",+C143+1)</f>
        <v>2067</v>
      </c>
      <c r="D144" s="63">
        <f>IF(F143+SUM(E$99:E143)=D$92,F143,D$92-SUM(E$99:E143))</f>
        <v>0</v>
      </c>
      <c r="E144" s="69">
        <f t="shared" si="24"/>
        <v>0</v>
      </c>
      <c r="F144" s="68">
        <f t="shared" si="25"/>
        <v>0</v>
      </c>
      <c r="G144" s="68">
        <f t="shared" si="26"/>
        <v>0</v>
      </c>
      <c r="H144" s="130">
        <f t="shared" si="20"/>
        <v>0</v>
      </c>
      <c r="I144" s="139">
        <f t="shared" si="21"/>
        <v>0</v>
      </c>
      <c r="J144" s="67">
        <f t="shared" si="27"/>
        <v>0</v>
      </c>
      <c r="K144" s="478"/>
      <c r="L144" s="487"/>
      <c r="M144" s="478">
        <f t="shared" si="28"/>
        <v>0</v>
      </c>
      <c r="N144" s="487"/>
      <c r="O144" s="478">
        <f t="shared" si="29"/>
        <v>0</v>
      </c>
      <c r="P144" s="478">
        <f t="shared" si="30"/>
        <v>0</v>
      </c>
    </row>
    <row r="145" spans="2:16">
      <c r="B145" s="160" t="str">
        <f t="shared" si="23"/>
        <v/>
      </c>
      <c r="C145" s="472">
        <f>IF(D93="","-",+C144+1)</f>
        <v>2068</v>
      </c>
      <c r="D145" s="63">
        <f>IF(F144+SUM(E$99:E144)=D$92,F144,D$92-SUM(E$99:E144))</f>
        <v>0</v>
      </c>
      <c r="E145" s="69">
        <f t="shared" si="24"/>
        <v>0</v>
      </c>
      <c r="F145" s="68">
        <f t="shared" si="25"/>
        <v>0</v>
      </c>
      <c r="G145" s="68">
        <f t="shared" si="26"/>
        <v>0</v>
      </c>
      <c r="H145" s="130">
        <f t="shared" si="20"/>
        <v>0</v>
      </c>
      <c r="I145" s="139">
        <f t="shared" si="21"/>
        <v>0</v>
      </c>
      <c r="J145" s="67">
        <f t="shared" si="27"/>
        <v>0</v>
      </c>
      <c r="K145" s="478"/>
      <c r="L145" s="487"/>
      <c r="M145" s="478">
        <f t="shared" si="28"/>
        <v>0</v>
      </c>
      <c r="N145" s="487"/>
      <c r="O145" s="478">
        <f t="shared" si="29"/>
        <v>0</v>
      </c>
      <c r="P145" s="478">
        <f t="shared" si="30"/>
        <v>0</v>
      </c>
    </row>
    <row r="146" spans="2:16">
      <c r="B146" s="160" t="str">
        <f t="shared" si="23"/>
        <v/>
      </c>
      <c r="C146" s="472">
        <f>IF(D93="","-",+C145+1)</f>
        <v>2069</v>
      </c>
      <c r="D146" s="63">
        <f>IF(F145+SUM(E$99:E145)=D$92,F145,D$92-SUM(E$99:E145))</f>
        <v>0</v>
      </c>
      <c r="E146" s="69">
        <f t="shared" si="24"/>
        <v>0</v>
      </c>
      <c r="F146" s="68">
        <f t="shared" si="25"/>
        <v>0</v>
      </c>
      <c r="G146" s="68">
        <f t="shared" si="26"/>
        <v>0</v>
      </c>
      <c r="H146" s="130">
        <f t="shared" si="20"/>
        <v>0</v>
      </c>
      <c r="I146" s="139">
        <f t="shared" si="21"/>
        <v>0</v>
      </c>
      <c r="J146" s="67">
        <f t="shared" si="27"/>
        <v>0</v>
      </c>
      <c r="K146" s="478"/>
      <c r="L146" s="487"/>
      <c r="M146" s="478">
        <f t="shared" si="28"/>
        <v>0</v>
      </c>
      <c r="N146" s="487"/>
      <c r="O146" s="478">
        <f t="shared" si="29"/>
        <v>0</v>
      </c>
      <c r="P146" s="478">
        <f t="shared" si="30"/>
        <v>0</v>
      </c>
    </row>
    <row r="147" spans="2:16">
      <c r="B147" s="160" t="str">
        <f t="shared" si="23"/>
        <v/>
      </c>
      <c r="C147" s="472">
        <f>IF(D93="","-",+C146+1)</f>
        <v>2070</v>
      </c>
      <c r="D147" s="63">
        <f>IF(F146+SUM(E$99:E146)=D$92,F146,D$92-SUM(E$99:E146))</f>
        <v>0</v>
      </c>
      <c r="E147" s="69">
        <f t="shared" si="24"/>
        <v>0</v>
      </c>
      <c r="F147" s="68">
        <f t="shared" si="25"/>
        <v>0</v>
      </c>
      <c r="G147" s="68">
        <f t="shared" si="26"/>
        <v>0</v>
      </c>
      <c r="H147" s="130">
        <f t="shared" si="20"/>
        <v>0</v>
      </c>
      <c r="I147" s="139">
        <f t="shared" si="21"/>
        <v>0</v>
      </c>
      <c r="J147" s="67">
        <f t="shared" si="27"/>
        <v>0</v>
      </c>
      <c r="K147" s="478"/>
      <c r="L147" s="487"/>
      <c r="M147" s="478">
        <f t="shared" si="28"/>
        <v>0</v>
      </c>
      <c r="N147" s="487"/>
      <c r="O147" s="478">
        <f t="shared" si="29"/>
        <v>0</v>
      </c>
      <c r="P147" s="478">
        <f t="shared" si="30"/>
        <v>0</v>
      </c>
    </row>
    <row r="148" spans="2:16">
      <c r="B148" s="160" t="str">
        <f t="shared" si="23"/>
        <v/>
      </c>
      <c r="C148" s="472">
        <f>IF(D93="","-",+C147+1)</f>
        <v>2071</v>
      </c>
      <c r="D148" s="63">
        <f>IF(F147+SUM(E$99:E147)=D$92,F147,D$92-SUM(E$99:E147))</f>
        <v>0</v>
      </c>
      <c r="E148" s="69">
        <f t="shared" si="24"/>
        <v>0</v>
      </c>
      <c r="F148" s="68">
        <f t="shared" si="25"/>
        <v>0</v>
      </c>
      <c r="G148" s="68">
        <f t="shared" si="26"/>
        <v>0</v>
      </c>
      <c r="H148" s="130">
        <f t="shared" si="20"/>
        <v>0</v>
      </c>
      <c r="I148" s="139">
        <f t="shared" si="21"/>
        <v>0</v>
      </c>
      <c r="J148" s="67">
        <f t="shared" si="27"/>
        <v>0</v>
      </c>
      <c r="K148" s="478"/>
      <c r="L148" s="487"/>
      <c r="M148" s="478">
        <f t="shared" si="28"/>
        <v>0</v>
      </c>
      <c r="N148" s="487"/>
      <c r="O148" s="478">
        <f t="shared" si="29"/>
        <v>0</v>
      </c>
      <c r="P148" s="478">
        <f t="shared" si="30"/>
        <v>0</v>
      </c>
    </row>
    <row r="149" spans="2:16">
      <c r="B149" s="160" t="str">
        <f t="shared" si="23"/>
        <v/>
      </c>
      <c r="C149" s="472">
        <f>IF(D93="","-",+C148+1)</f>
        <v>2072</v>
      </c>
      <c r="D149" s="63">
        <f>IF(F148+SUM(E$99:E148)=D$92,F148,D$92-SUM(E$99:E148))</f>
        <v>0</v>
      </c>
      <c r="E149" s="69">
        <f t="shared" si="24"/>
        <v>0</v>
      </c>
      <c r="F149" s="68">
        <f t="shared" si="25"/>
        <v>0</v>
      </c>
      <c r="G149" s="68">
        <f t="shared" si="26"/>
        <v>0</v>
      </c>
      <c r="H149" s="130">
        <f t="shared" si="20"/>
        <v>0</v>
      </c>
      <c r="I149" s="139">
        <f t="shared" si="21"/>
        <v>0</v>
      </c>
      <c r="J149" s="67">
        <f t="shared" si="27"/>
        <v>0</v>
      </c>
      <c r="K149" s="478"/>
      <c r="L149" s="487"/>
      <c r="M149" s="478">
        <f t="shared" si="28"/>
        <v>0</v>
      </c>
      <c r="N149" s="487"/>
      <c r="O149" s="478">
        <f t="shared" si="29"/>
        <v>0</v>
      </c>
      <c r="P149" s="478">
        <f t="shared" si="30"/>
        <v>0</v>
      </c>
    </row>
    <row r="150" spans="2:16">
      <c r="B150" s="160" t="str">
        <f t="shared" si="23"/>
        <v/>
      </c>
      <c r="C150" s="472">
        <f>IF(D93="","-",+C149+1)</f>
        <v>2073</v>
      </c>
      <c r="D150" s="63">
        <f>IF(F149+SUM(E$99:E149)=D$92,F149,D$92-SUM(E$99:E149))</f>
        <v>0</v>
      </c>
      <c r="E150" s="69">
        <f t="shared" si="24"/>
        <v>0</v>
      </c>
      <c r="F150" s="68">
        <f t="shared" si="25"/>
        <v>0</v>
      </c>
      <c r="G150" s="68">
        <f t="shared" si="26"/>
        <v>0</v>
      </c>
      <c r="H150" s="130">
        <f t="shared" si="20"/>
        <v>0</v>
      </c>
      <c r="I150" s="139">
        <f t="shared" si="21"/>
        <v>0</v>
      </c>
      <c r="J150" s="67">
        <f t="shared" si="27"/>
        <v>0</v>
      </c>
      <c r="K150" s="478"/>
      <c r="L150" s="487"/>
      <c r="M150" s="478">
        <f t="shared" si="28"/>
        <v>0</v>
      </c>
      <c r="N150" s="487"/>
      <c r="O150" s="478">
        <f t="shared" si="29"/>
        <v>0</v>
      </c>
      <c r="P150" s="478">
        <f t="shared" si="30"/>
        <v>0</v>
      </c>
    </row>
    <row r="151" spans="2:16">
      <c r="B151" s="160" t="str">
        <f t="shared" si="23"/>
        <v/>
      </c>
      <c r="C151" s="472">
        <f>IF(D93="","-",+C150+1)</f>
        <v>2074</v>
      </c>
      <c r="D151" s="63">
        <f>IF(F150+SUM(E$99:E150)=D$92,F150,D$92-SUM(E$99:E150))</f>
        <v>0</v>
      </c>
      <c r="E151" s="69">
        <f t="shared" si="24"/>
        <v>0</v>
      </c>
      <c r="F151" s="68">
        <f t="shared" si="25"/>
        <v>0</v>
      </c>
      <c r="G151" s="68">
        <f t="shared" si="26"/>
        <v>0</v>
      </c>
      <c r="H151" s="130">
        <f t="shared" si="20"/>
        <v>0</v>
      </c>
      <c r="I151" s="139">
        <f t="shared" si="21"/>
        <v>0</v>
      </c>
      <c r="J151" s="67">
        <f t="shared" si="27"/>
        <v>0</v>
      </c>
      <c r="K151" s="478"/>
      <c r="L151" s="487"/>
      <c r="M151" s="478">
        <f t="shared" si="28"/>
        <v>0</v>
      </c>
      <c r="N151" s="487"/>
      <c r="O151" s="478">
        <f t="shared" si="29"/>
        <v>0</v>
      </c>
      <c r="P151" s="478">
        <f t="shared" si="30"/>
        <v>0</v>
      </c>
    </row>
    <row r="152" spans="2:16">
      <c r="B152" s="160" t="str">
        <f t="shared" si="23"/>
        <v/>
      </c>
      <c r="C152" s="472">
        <f>IF(D93="","-",+C151+1)</f>
        <v>2075</v>
      </c>
      <c r="D152" s="63">
        <f>IF(F151+SUM(E$99:E151)=D$92,F151,D$92-SUM(E$99:E151))</f>
        <v>0</v>
      </c>
      <c r="E152" s="69">
        <f t="shared" si="24"/>
        <v>0</v>
      </c>
      <c r="F152" s="68">
        <f t="shared" si="25"/>
        <v>0</v>
      </c>
      <c r="G152" s="68">
        <f t="shared" si="26"/>
        <v>0</v>
      </c>
      <c r="H152" s="130">
        <f t="shared" si="20"/>
        <v>0</v>
      </c>
      <c r="I152" s="139">
        <f t="shared" si="21"/>
        <v>0</v>
      </c>
      <c r="J152" s="67">
        <f t="shared" si="27"/>
        <v>0</v>
      </c>
      <c r="K152" s="478"/>
      <c r="L152" s="487"/>
      <c r="M152" s="478">
        <f t="shared" si="28"/>
        <v>0</v>
      </c>
      <c r="N152" s="487"/>
      <c r="O152" s="478">
        <f t="shared" si="29"/>
        <v>0</v>
      </c>
      <c r="P152" s="478">
        <f t="shared" si="30"/>
        <v>0</v>
      </c>
    </row>
    <row r="153" spans="2:16">
      <c r="B153" s="160" t="str">
        <f t="shared" si="23"/>
        <v/>
      </c>
      <c r="C153" s="472">
        <f>IF(D93="","-",+C152+1)</f>
        <v>2076</v>
      </c>
      <c r="D153" s="63">
        <f>IF(F152+SUM(E$99:E152)=D$92,F152,D$92-SUM(E$99:E152))</f>
        <v>0</v>
      </c>
      <c r="E153" s="69">
        <f t="shared" si="24"/>
        <v>0</v>
      </c>
      <c r="F153" s="68">
        <f t="shared" si="25"/>
        <v>0</v>
      </c>
      <c r="G153" s="68">
        <f t="shared" si="26"/>
        <v>0</v>
      </c>
      <c r="H153" s="130">
        <f t="shared" si="20"/>
        <v>0</v>
      </c>
      <c r="I153" s="139">
        <f t="shared" si="21"/>
        <v>0</v>
      </c>
      <c r="J153" s="67">
        <f t="shared" si="27"/>
        <v>0</v>
      </c>
      <c r="K153" s="478"/>
      <c r="L153" s="487"/>
      <c r="M153" s="478">
        <f t="shared" si="28"/>
        <v>0</v>
      </c>
      <c r="N153" s="487"/>
      <c r="O153" s="478">
        <f t="shared" si="29"/>
        <v>0</v>
      </c>
      <c r="P153" s="478">
        <f t="shared" si="30"/>
        <v>0</v>
      </c>
    </row>
    <row r="154" spans="2:16" ht="13" thickBot="1">
      <c r="B154" s="160" t="str">
        <f t="shared" si="23"/>
        <v/>
      </c>
      <c r="C154" s="489">
        <f>IF(D93="","-",+C153+1)</f>
        <v>2077</v>
      </c>
      <c r="D154" s="98">
        <f>IF(F153+SUM(E$99:E153)=D$92,F153,D$92-SUM(E$99:E153))</f>
        <v>0</v>
      </c>
      <c r="E154" s="74">
        <f t="shared" si="24"/>
        <v>0</v>
      </c>
      <c r="F154" s="73">
        <f t="shared" si="25"/>
        <v>0</v>
      </c>
      <c r="G154" s="73">
        <f t="shared" si="26"/>
        <v>0</v>
      </c>
      <c r="H154" s="140">
        <f t="shared" si="20"/>
        <v>0</v>
      </c>
      <c r="I154" s="141">
        <f t="shared" si="21"/>
        <v>0</v>
      </c>
      <c r="J154" s="76">
        <f t="shared" si="27"/>
        <v>0</v>
      </c>
      <c r="K154" s="478"/>
      <c r="L154" s="494"/>
      <c r="M154" s="495">
        <f t="shared" si="28"/>
        <v>0</v>
      </c>
      <c r="N154" s="494"/>
      <c r="O154" s="495">
        <f t="shared" si="29"/>
        <v>0</v>
      </c>
      <c r="P154" s="495">
        <f t="shared" si="30"/>
        <v>0</v>
      </c>
    </row>
    <row r="155" spans="2:16">
      <c r="C155" s="346" t="s">
        <v>77</v>
      </c>
      <c r="D155" s="347"/>
      <c r="E155" s="347">
        <f>SUM(E99:E154)</f>
        <v>0</v>
      </c>
      <c r="F155" s="347"/>
      <c r="G155" s="347"/>
      <c r="H155" s="347">
        <f>SUM(H99:H154)</f>
        <v>0</v>
      </c>
      <c r="I155" s="347">
        <f>SUM(I99:I154)</f>
        <v>0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8"/>
  <dimension ref="A1:P162"/>
  <sheetViews>
    <sheetView view="pageBreakPreview" zoomScale="78" zoomScaleNormal="100" zoomScaleSheetLayoutView="78" workbookViewId="0">
      <selection activeCell="D17" sqref="D17:I71"/>
    </sheetView>
  </sheetViews>
  <sheetFormatPr defaultRowHeight="12.75" customHeight="1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31</v>
      </c>
    </row>
    <row r="2" spans="1:16" ht="17.5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6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.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 ht="13">
      <c r="C10" s="145" t="s">
        <v>226</v>
      </c>
      <c r="D10" s="43"/>
      <c r="E10" s="12" t="s">
        <v>51</v>
      </c>
      <c r="F10" s="42"/>
      <c r="G10" s="44"/>
      <c r="H10" s="44"/>
      <c r="I10" s="45">
        <f>+'PSO.WS.F.BPU.ATRR.Projected'!L19</f>
        <v>2023</v>
      </c>
      <c r="J10" s="41"/>
      <c r="K10" s="20" t="s">
        <v>52</v>
      </c>
      <c r="O10" s="4"/>
      <c r="P10" s="4"/>
    </row>
    <row r="11" spans="1:16" ht="12.5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 ht="12.5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'PSO.WS.F.BPU.ATRR.Projected'!$F$81</f>
        <v>0.11935895065679607</v>
      </c>
      <c r="J12" s="51"/>
      <c r="K12" t="s">
        <v>57</v>
      </c>
      <c r="O12" s="4"/>
      <c r="P12" s="4"/>
    </row>
    <row r="13" spans="1:16" ht="12.5">
      <c r="C13" s="46" t="s">
        <v>58</v>
      </c>
      <c r="D13" s="48">
        <f>+'PSO.WS.F.BPU.ATRR.Projected'!F$93</f>
        <v>39</v>
      </c>
      <c r="E13" s="46" t="s">
        <v>59</v>
      </c>
      <c r="F13" s="44"/>
      <c r="G13" s="7"/>
      <c r="H13" s="7"/>
      <c r="I13" s="50">
        <f>IF(G5="",I12,'PSO.WS.F.BPU.ATRR.Projected'!$F$80)</f>
        <v>0.11935895065679607</v>
      </c>
      <c r="J13" s="51"/>
      <c r="K13" s="20" t="s">
        <v>60</v>
      </c>
      <c r="L13" s="11"/>
      <c r="M13" s="11"/>
      <c r="N13" s="11"/>
      <c r="O13" s="4"/>
      <c r="P13" s="4"/>
    </row>
    <row r="14" spans="1:16" ht="13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9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 ht="12.5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 ht="12.5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 ht="12.5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 ht="12.5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 ht="12.5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 ht="12.5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 ht="12.5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 ht="12.5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 ht="12.5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 ht="12.5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 ht="12.5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 ht="12.5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 ht="12.5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 ht="12.5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 ht="12.5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 ht="12.5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 ht="12.5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 ht="12.5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 ht="12.5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 ht="12.5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 ht="12.5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 ht="12.5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 ht="12.5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 ht="12.5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 ht="12.5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 ht="12.5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 ht="12.5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 ht="12.5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 ht="12.5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 ht="12.5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 ht="12.5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 ht="12.5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 ht="12.5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 ht="12.5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 ht="12.5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 ht="12.5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 ht="12.5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 ht="12.5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 ht="12.5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 ht="12.5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 ht="12.5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 ht="12.5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 ht="12.5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 ht="12.5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 ht="12.5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 ht="12.5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 ht="12.5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 ht="12.5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 ht="12.5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 ht="12.5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 ht="12.5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 ht="12.5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 ht="12.5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 ht="12.5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 ht="12.5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 ht="12.5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 ht="12.5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 ht="13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 ht="13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 ht="13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 ht="13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 ht="12.5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7.5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 ht="12.5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 ht="12.5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31</v>
      </c>
    </row>
    <row r="84" spans="1:16" ht="17.5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7.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6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2021</v>
      </c>
      <c r="M86" s="119" t="s">
        <v>8</v>
      </c>
      <c r="N86" s="120" t="s">
        <v>153</v>
      </c>
      <c r="O86" s="121" t="s">
        <v>10</v>
      </c>
      <c r="P86" s="1"/>
    </row>
    <row r="87" spans="1:16" ht="15.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 ht="13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2021</v>
      </c>
      <c r="K92" s="41"/>
      <c r="L92" s="20" t="s">
        <v>95</v>
      </c>
      <c r="P92" s="4"/>
    </row>
    <row r="93" spans="1:16" ht="12.5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 ht="12.5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 ht="12.5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9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 ht="12.5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 ht="12.5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 ht="12.5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 ht="12.5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 ht="12.5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 ht="12.5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 ht="12.5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 ht="12.5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 ht="12.5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 ht="12.5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 ht="12.5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 ht="12.5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 ht="12.5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 ht="12.5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 ht="12.5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 ht="12.5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 ht="12.5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 ht="12.5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 ht="12.5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 ht="12.5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 ht="12.5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 ht="12.5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 ht="12.5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 ht="12.5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 ht="12.5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 ht="12.5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 ht="12.5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 ht="12.5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 ht="12.5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 ht="12.5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 ht="12.5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 ht="12.5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 ht="12.5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 ht="12.5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 ht="12.5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 ht="12.5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 ht="12.5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 ht="12.5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 ht="12.5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 ht="12.5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 ht="12.5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 ht="12.5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 ht="12.5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 ht="12.5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 ht="12.5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 ht="12.5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 ht="12.5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 ht="12.5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 ht="12.5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 ht="12.5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 ht="12.5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 ht="12.5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 ht="12.5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 ht="12.5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 ht="12.5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 ht="12.5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 ht="12.5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 ht="12.5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 ht="13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 ht="13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 ht="13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 ht="13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7.5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P162"/>
  <sheetViews>
    <sheetView view="pageBreakPreview" zoomScale="80" zoomScaleNormal="100" zoomScaleSheetLayoutView="8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179687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1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 t="str">
        <f>RIGHT(N3,3)</f>
        <v/>
      </c>
      <c r="P3" s="41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97046.160151699252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97046.160151699252</v>
      </c>
      <c r="O6" s="232"/>
      <c r="P6" s="232"/>
    </row>
    <row r="7" spans="1:16" ht="13.5" thickBot="1">
      <c r="C7" s="431" t="s">
        <v>46</v>
      </c>
      <c r="D7" s="432" t="s">
        <v>209</v>
      </c>
      <c r="E7" s="331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49</v>
      </c>
      <c r="E9" s="577" t="s">
        <v>354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893858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22919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579098</v>
      </c>
      <c r="E17" s="474">
        <v>5463</v>
      </c>
      <c r="F17" s="473">
        <v>573635</v>
      </c>
      <c r="G17" s="474">
        <v>56729</v>
      </c>
      <c r="H17" s="474">
        <v>56729</v>
      </c>
      <c r="I17" s="475">
        <f t="shared" ref="I17:I48" si="0">H17-G17</f>
        <v>0</v>
      </c>
      <c r="J17" s="475"/>
      <c r="K17" s="476">
        <v>56729</v>
      </c>
      <c r="L17" s="477">
        <f t="shared" ref="L17:L48" si="1">IF(K17&lt;&gt;0,+G17-K17,0)</f>
        <v>0</v>
      </c>
      <c r="M17" s="476">
        <v>56729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888395</v>
      </c>
      <c r="E18" s="480">
        <v>15962</v>
      </c>
      <c r="F18" s="479">
        <v>872433</v>
      </c>
      <c r="G18" s="480">
        <v>141851</v>
      </c>
      <c r="H18" s="481">
        <v>141851</v>
      </c>
      <c r="I18" s="475">
        <f t="shared" si="0"/>
        <v>0</v>
      </c>
      <c r="J18" s="475"/>
      <c r="K18" s="476">
        <f t="shared" ref="K18:K23" si="4">G18</f>
        <v>141851</v>
      </c>
      <c r="L18" s="478">
        <f t="shared" si="1"/>
        <v>0</v>
      </c>
      <c r="M18" s="476">
        <f t="shared" ref="M18:M23" si="5">H18</f>
        <v>141851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/>
      </c>
      <c r="C19" s="472">
        <f>IF(D11="","-",+C18+1)</f>
        <v>2011</v>
      </c>
      <c r="D19" s="479">
        <v>872433</v>
      </c>
      <c r="E19" s="480">
        <v>17527</v>
      </c>
      <c r="F19" s="479">
        <v>854906</v>
      </c>
      <c r="G19" s="480">
        <v>151356.84230707804</v>
      </c>
      <c r="H19" s="481">
        <v>151356.84230707804</v>
      </c>
      <c r="I19" s="475">
        <f t="shared" si="0"/>
        <v>0</v>
      </c>
      <c r="J19" s="475"/>
      <c r="K19" s="476">
        <f t="shared" si="4"/>
        <v>151356.84230707804</v>
      </c>
      <c r="L19" s="478">
        <f t="shared" si="1"/>
        <v>0</v>
      </c>
      <c r="M19" s="476">
        <f t="shared" si="5"/>
        <v>151356.84230707804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82">
        <f>IF(D11="","-",+C19+1)</f>
        <v>2012</v>
      </c>
      <c r="D20" s="479">
        <v>854906</v>
      </c>
      <c r="E20" s="480">
        <v>17190</v>
      </c>
      <c r="F20" s="479">
        <v>837716</v>
      </c>
      <c r="G20" s="480">
        <v>133805.70830730975</v>
      </c>
      <c r="H20" s="481">
        <v>133805.70830730975</v>
      </c>
      <c r="I20" s="475">
        <f t="shared" si="0"/>
        <v>0</v>
      </c>
      <c r="J20" s="475"/>
      <c r="K20" s="476">
        <f t="shared" si="4"/>
        <v>133805.70830730975</v>
      </c>
      <c r="L20" s="478">
        <f t="shared" si="1"/>
        <v>0</v>
      </c>
      <c r="M20" s="476">
        <f t="shared" si="5"/>
        <v>133805.70830730975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82">
        <f>IF(D12="","-",+C20+1)</f>
        <v>2013</v>
      </c>
      <c r="D21" s="479">
        <v>837716</v>
      </c>
      <c r="E21" s="480">
        <v>17190</v>
      </c>
      <c r="F21" s="479">
        <v>820526</v>
      </c>
      <c r="G21" s="480">
        <v>134366.65985215519</v>
      </c>
      <c r="H21" s="481">
        <v>134366.65985215519</v>
      </c>
      <c r="I21" s="475">
        <v>0</v>
      </c>
      <c r="J21" s="475"/>
      <c r="K21" s="476">
        <f t="shared" si="4"/>
        <v>134366.65985215519</v>
      </c>
      <c r="L21" s="478">
        <f t="shared" ref="L21:L26" si="7">IF(K21&lt;&gt;0,+G21-K21,0)</f>
        <v>0</v>
      </c>
      <c r="M21" s="476">
        <f t="shared" si="5"/>
        <v>134366.65985215519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820526</v>
      </c>
      <c r="E22" s="480">
        <v>17190</v>
      </c>
      <c r="F22" s="479">
        <v>803336</v>
      </c>
      <c r="G22" s="480">
        <v>127776.24380165605</v>
      </c>
      <c r="H22" s="481">
        <v>127776.24380165605</v>
      </c>
      <c r="I22" s="475">
        <v>0</v>
      </c>
      <c r="J22" s="475"/>
      <c r="K22" s="476">
        <f t="shared" si="4"/>
        <v>127776.24380165605</v>
      </c>
      <c r="L22" s="478">
        <f t="shared" si="7"/>
        <v>0</v>
      </c>
      <c r="M22" s="476">
        <f t="shared" si="5"/>
        <v>127776.24380165605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2015</v>
      </c>
      <c r="D23" s="479">
        <v>803336</v>
      </c>
      <c r="E23" s="480">
        <v>17190</v>
      </c>
      <c r="F23" s="479">
        <v>786146</v>
      </c>
      <c r="G23" s="480">
        <v>125577.25148028173</v>
      </c>
      <c r="H23" s="481">
        <v>125577.25148028173</v>
      </c>
      <c r="I23" s="475">
        <v>0</v>
      </c>
      <c r="J23" s="475"/>
      <c r="K23" s="476">
        <f t="shared" si="4"/>
        <v>125577.25148028173</v>
      </c>
      <c r="L23" s="478">
        <f t="shared" si="7"/>
        <v>0</v>
      </c>
      <c r="M23" s="476">
        <f t="shared" si="5"/>
        <v>125577.25148028173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786146</v>
      </c>
      <c r="E24" s="480">
        <v>17190</v>
      </c>
      <c r="F24" s="479">
        <v>768956</v>
      </c>
      <c r="G24" s="480">
        <v>118045.98754263212</v>
      </c>
      <c r="H24" s="481">
        <v>118045.98754263212</v>
      </c>
      <c r="I24" s="475">
        <f t="shared" si="0"/>
        <v>0</v>
      </c>
      <c r="J24" s="475"/>
      <c r="K24" s="476">
        <f t="shared" ref="K24:K29" si="10">G24</f>
        <v>118045.98754263212</v>
      </c>
      <c r="L24" s="478">
        <f t="shared" si="7"/>
        <v>0</v>
      </c>
      <c r="M24" s="476">
        <f t="shared" ref="M24:M29" si="11">H24</f>
        <v>118045.98754263212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768956</v>
      </c>
      <c r="E25" s="480">
        <v>19432</v>
      </c>
      <c r="F25" s="479">
        <v>749524</v>
      </c>
      <c r="G25" s="480">
        <v>114816.91495996526</v>
      </c>
      <c r="H25" s="481">
        <v>114816.91495996526</v>
      </c>
      <c r="I25" s="475">
        <f t="shared" si="0"/>
        <v>0</v>
      </c>
      <c r="J25" s="475"/>
      <c r="K25" s="476">
        <f t="shared" si="10"/>
        <v>114816.91495996526</v>
      </c>
      <c r="L25" s="478">
        <f t="shared" si="7"/>
        <v>0</v>
      </c>
      <c r="M25" s="476">
        <f t="shared" si="11"/>
        <v>114816.91495996526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749524</v>
      </c>
      <c r="E26" s="480">
        <v>19864</v>
      </c>
      <c r="F26" s="479">
        <v>729660</v>
      </c>
      <c r="G26" s="480">
        <v>108436.75447594153</v>
      </c>
      <c r="H26" s="481">
        <v>108436.75447594153</v>
      </c>
      <c r="I26" s="475">
        <f t="shared" si="0"/>
        <v>0</v>
      </c>
      <c r="J26" s="475"/>
      <c r="K26" s="476">
        <f t="shared" si="10"/>
        <v>108436.75447594153</v>
      </c>
      <c r="L26" s="478">
        <f t="shared" si="7"/>
        <v>0</v>
      </c>
      <c r="M26" s="476">
        <f t="shared" si="11"/>
        <v>108436.75447594153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729660</v>
      </c>
      <c r="E27" s="480">
        <v>22346</v>
      </c>
      <c r="F27" s="479">
        <v>707314</v>
      </c>
      <c r="G27" s="480">
        <v>102569.83805108386</v>
      </c>
      <c r="H27" s="481">
        <v>102569.83805108386</v>
      </c>
      <c r="I27" s="475">
        <f t="shared" si="0"/>
        <v>0</v>
      </c>
      <c r="J27" s="475"/>
      <c r="K27" s="476">
        <f t="shared" si="10"/>
        <v>102569.83805108386</v>
      </c>
      <c r="L27" s="478">
        <f t="shared" ref="L27" si="12">IF(K27&lt;&gt;0,+G27-K27,0)</f>
        <v>0</v>
      </c>
      <c r="M27" s="476">
        <f t="shared" si="11"/>
        <v>102569.83805108386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709796</v>
      </c>
      <c r="E28" s="480">
        <v>21282</v>
      </c>
      <c r="F28" s="479">
        <v>688514</v>
      </c>
      <c r="G28" s="480">
        <v>96794.079800478314</v>
      </c>
      <c r="H28" s="481">
        <v>96794.079800478314</v>
      </c>
      <c r="I28" s="475">
        <f t="shared" si="0"/>
        <v>0</v>
      </c>
      <c r="J28" s="475"/>
      <c r="K28" s="476">
        <f t="shared" si="10"/>
        <v>96794.079800478314</v>
      </c>
      <c r="L28" s="478">
        <f t="shared" ref="L28" si="15">IF(K28&lt;&gt;0,+G28-K28,0)</f>
        <v>0</v>
      </c>
      <c r="M28" s="476">
        <f t="shared" si="11"/>
        <v>96794.079800478314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79">
        <v>686032</v>
      </c>
      <c r="E29" s="480">
        <v>20787</v>
      </c>
      <c r="F29" s="479">
        <v>665245</v>
      </c>
      <c r="G29" s="480">
        <v>92514.814817027102</v>
      </c>
      <c r="H29" s="481">
        <v>92514.814817027102</v>
      </c>
      <c r="I29" s="475">
        <f t="shared" si="0"/>
        <v>0</v>
      </c>
      <c r="J29" s="475"/>
      <c r="K29" s="476">
        <f t="shared" si="10"/>
        <v>92514.814817027102</v>
      </c>
      <c r="L29" s="478">
        <f t="shared" ref="L29" si="16">IF(K29&lt;&gt;0,+G29-K29,0)</f>
        <v>0</v>
      </c>
      <c r="M29" s="476">
        <f t="shared" si="11"/>
        <v>92514.814817027102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79">
        <v>665245</v>
      </c>
      <c r="E30" s="480">
        <v>21282</v>
      </c>
      <c r="F30" s="479">
        <v>643963</v>
      </c>
      <c r="G30" s="480">
        <v>90708.453283775307</v>
      </c>
      <c r="H30" s="481">
        <v>90708.453283775307</v>
      </c>
      <c r="I30" s="475">
        <f t="shared" si="0"/>
        <v>0</v>
      </c>
      <c r="J30" s="475"/>
      <c r="K30" s="476">
        <f t="shared" ref="K30" si="17">G30</f>
        <v>90708.453283775307</v>
      </c>
      <c r="L30" s="478">
        <f t="shared" ref="L30" si="18">IF(K30&lt;&gt;0,+G30-K30,0)</f>
        <v>0</v>
      </c>
      <c r="M30" s="476">
        <f t="shared" ref="M30" si="19">H30</f>
        <v>90708.453283775307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3">
        <f>IF(F30+SUM(E$17:E30)=D$10,F30,D$10-SUM(E$17:E30))</f>
        <v>643963</v>
      </c>
      <c r="E31" s="484">
        <f>IF(+I14&lt;F30,I14,D31)</f>
        <v>22919</v>
      </c>
      <c r="F31" s="485">
        <f t="shared" ref="F31:F48" si="20">+D31-E31</f>
        <v>621044</v>
      </c>
      <c r="G31" s="486">
        <f t="shared" ref="G31:G72" si="21">+I$12*F31+E31</f>
        <v>97046.160151699252</v>
      </c>
      <c r="H31" s="455">
        <f t="shared" ref="H31:H72" si="22">+I$13*F31+E31</f>
        <v>97046.160151699252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3">
        <f>IF(F31+SUM(E$17:E31)=D$10,F31,D$10-SUM(E$17:E31))</f>
        <v>621044</v>
      </c>
      <c r="E32" s="484">
        <f>IF(+I14&lt;F31,I14,D32)</f>
        <v>22919</v>
      </c>
      <c r="F32" s="485">
        <f t="shared" si="20"/>
        <v>598125</v>
      </c>
      <c r="G32" s="486">
        <f t="shared" si="21"/>
        <v>94310.572361596147</v>
      </c>
      <c r="H32" s="455">
        <f t="shared" si="22"/>
        <v>94310.572361596147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3">
        <f>IF(F32+SUM(E$17:E32)=D$10,F32,D$10-SUM(E$17:E32))</f>
        <v>598125</v>
      </c>
      <c r="E33" s="484">
        <f>IF(+I14&lt;F32,I14,D33)</f>
        <v>22919</v>
      </c>
      <c r="F33" s="485">
        <f t="shared" si="20"/>
        <v>575206</v>
      </c>
      <c r="G33" s="486">
        <f t="shared" si="21"/>
        <v>91574.984571493042</v>
      </c>
      <c r="H33" s="455">
        <f t="shared" si="22"/>
        <v>91574.984571493042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3">
        <f>IF(F33+SUM(E$17:E33)=D$10,F33,D$10-SUM(E$17:E33))</f>
        <v>575206</v>
      </c>
      <c r="E34" s="484">
        <f>IF(+I14&lt;F33,I14,D34)</f>
        <v>22919</v>
      </c>
      <c r="F34" s="485">
        <f t="shared" si="20"/>
        <v>552287</v>
      </c>
      <c r="G34" s="486">
        <f t="shared" si="21"/>
        <v>88839.396781389936</v>
      </c>
      <c r="H34" s="455">
        <f t="shared" si="22"/>
        <v>88839.396781389936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3">
        <f>IF(F34+SUM(E$17:E34)=D$10,F34,D$10-SUM(E$17:E34))</f>
        <v>552287</v>
      </c>
      <c r="E35" s="484">
        <f>IF(+I14&lt;F34,I14,D35)</f>
        <v>22919</v>
      </c>
      <c r="F35" s="485">
        <f t="shared" si="20"/>
        <v>529368</v>
      </c>
      <c r="G35" s="486">
        <f t="shared" si="21"/>
        <v>86103.808991286816</v>
      </c>
      <c r="H35" s="455">
        <f t="shared" si="22"/>
        <v>86103.808991286816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3">
        <f>IF(F35+SUM(E$17:E35)=D$10,F35,D$10-SUM(E$17:E35))</f>
        <v>529368</v>
      </c>
      <c r="E36" s="484">
        <f>IF(+I14&lt;F35,I14,D36)</f>
        <v>22919</v>
      </c>
      <c r="F36" s="485">
        <f t="shared" si="20"/>
        <v>506449</v>
      </c>
      <c r="G36" s="486">
        <f t="shared" si="21"/>
        <v>83368.221201183711</v>
      </c>
      <c r="H36" s="455">
        <f t="shared" si="22"/>
        <v>83368.221201183711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3">
        <f>IF(F36+SUM(E$17:E36)=D$10,F36,D$10-SUM(E$17:E36))</f>
        <v>506449</v>
      </c>
      <c r="E37" s="484">
        <f>IF(+I14&lt;F36,I14,D37)</f>
        <v>22919</v>
      </c>
      <c r="F37" s="485">
        <f t="shared" si="20"/>
        <v>483530</v>
      </c>
      <c r="G37" s="486">
        <f t="shared" si="21"/>
        <v>80632.633411080606</v>
      </c>
      <c r="H37" s="455">
        <f t="shared" si="22"/>
        <v>80632.633411080606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3">
        <f>IF(F37+SUM(E$17:E37)=D$10,F37,D$10-SUM(E$17:E37))</f>
        <v>483530</v>
      </c>
      <c r="E38" s="484">
        <f>IF(+I14&lt;F37,I14,D38)</f>
        <v>22919</v>
      </c>
      <c r="F38" s="485">
        <f t="shared" si="20"/>
        <v>460611</v>
      </c>
      <c r="G38" s="486">
        <f t="shared" si="21"/>
        <v>77897.0456209775</v>
      </c>
      <c r="H38" s="455">
        <f t="shared" si="22"/>
        <v>77897.0456209775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3">
        <f>IF(F38+SUM(E$17:E38)=D$10,F38,D$10-SUM(E$17:E38))</f>
        <v>460611</v>
      </c>
      <c r="E39" s="484">
        <f>IF(+I14&lt;F38,I14,D39)</f>
        <v>22919</v>
      </c>
      <c r="F39" s="485">
        <f t="shared" si="20"/>
        <v>437692</v>
      </c>
      <c r="G39" s="486">
        <f t="shared" si="21"/>
        <v>75161.457830874395</v>
      </c>
      <c r="H39" s="455">
        <f t="shared" si="22"/>
        <v>75161.457830874395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3">
        <f>IF(F39+SUM(E$17:E39)=D$10,F39,D$10-SUM(E$17:E39))</f>
        <v>437692</v>
      </c>
      <c r="E40" s="484">
        <f>IF(+I14&lt;F39,I14,D40)</f>
        <v>22919</v>
      </c>
      <c r="F40" s="485">
        <f t="shared" si="20"/>
        <v>414773</v>
      </c>
      <c r="G40" s="486">
        <f t="shared" si="21"/>
        <v>72425.870040771275</v>
      </c>
      <c r="H40" s="455">
        <f t="shared" si="22"/>
        <v>72425.870040771275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3">
        <f>IF(F40+SUM(E$17:E40)=D$10,F40,D$10-SUM(E$17:E40))</f>
        <v>414773</v>
      </c>
      <c r="E41" s="484">
        <f>IF(+I14&lt;F40,I14,D41)</f>
        <v>22919</v>
      </c>
      <c r="F41" s="485">
        <f t="shared" si="20"/>
        <v>391854</v>
      </c>
      <c r="G41" s="486">
        <f t="shared" si="21"/>
        <v>69690.28225066817</v>
      </c>
      <c r="H41" s="455">
        <f t="shared" si="22"/>
        <v>69690.28225066817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3">
        <f>IF(F41+SUM(E$17:E41)=D$10,F41,D$10-SUM(E$17:E41))</f>
        <v>391854</v>
      </c>
      <c r="E42" s="484">
        <f>IF(+I14&lt;F41,I14,D42)</f>
        <v>22919</v>
      </c>
      <c r="F42" s="485">
        <f t="shared" si="20"/>
        <v>368935</v>
      </c>
      <c r="G42" s="486">
        <f t="shared" si="21"/>
        <v>66954.69446056505</v>
      </c>
      <c r="H42" s="455">
        <f t="shared" si="22"/>
        <v>66954.69446056505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3">
        <f>IF(F42+SUM(E$17:E42)=D$10,F42,D$10-SUM(E$17:E42))</f>
        <v>368935</v>
      </c>
      <c r="E43" s="484">
        <f>IF(+I14&lt;F42,I14,D43)</f>
        <v>22919</v>
      </c>
      <c r="F43" s="485">
        <f t="shared" si="20"/>
        <v>346016</v>
      </c>
      <c r="G43" s="486">
        <f t="shared" si="21"/>
        <v>64219.106670461952</v>
      </c>
      <c r="H43" s="455">
        <f t="shared" si="22"/>
        <v>64219.106670461952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3">
        <f>IF(F43+SUM(E$17:E43)=D$10,F43,D$10-SUM(E$17:E43))</f>
        <v>346016</v>
      </c>
      <c r="E44" s="484">
        <f>IF(+I14&lt;F43,I14,D44)</f>
        <v>22919</v>
      </c>
      <c r="F44" s="485">
        <f t="shared" si="20"/>
        <v>323097</v>
      </c>
      <c r="G44" s="486">
        <f t="shared" si="21"/>
        <v>61483.518880358839</v>
      </c>
      <c r="H44" s="455">
        <f t="shared" si="22"/>
        <v>61483.518880358839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3">
        <f>IF(F44+SUM(E$17:E44)=D$10,F44,D$10-SUM(E$17:E44))</f>
        <v>323097</v>
      </c>
      <c r="E45" s="484">
        <f>IF(+I14&lt;F44,I14,D45)</f>
        <v>22919</v>
      </c>
      <c r="F45" s="485">
        <f t="shared" si="20"/>
        <v>300178</v>
      </c>
      <c r="G45" s="486">
        <f t="shared" si="21"/>
        <v>58747.931090255726</v>
      </c>
      <c r="H45" s="455">
        <f t="shared" si="22"/>
        <v>58747.931090255726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3">
        <f>IF(F45+SUM(E$17:E45)=D$10,F45,D$10-SUM(E$17:E45))</f>
        <v>300178</v>
      </c>
      <c r="E46" s="484">
        <f>IF(+I14&lt;F45,I14,D46)</f>
        <v>22919</v>
      </c>
      <c r="F46" s="485">
        <f t="shared" si="20"/>
        <v>277259</v>
      </c>
      <c r="G46" s="486">
        <f t="shared" si="21"/>
        <v>56012.343300152621</v>
      </c>
      <c r="H46" s="455">
        <f t="shared" si="22"/>
        <v>56012.343300152621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3">
        <f>IF(F46+SUM(E$17:E46)=D$10,F46,D$10-SUM(E$17:E46))</f>
        <v>277259</v>
      </c>
      <c r="E47" s="484">
        <f>IF(+I14&lt;F46,I14,D47)</f>
        <v>22919</v>
      </c>
      <c r="F47" s="485">
        <f t="shared" si="20"/>
        <v>254340</v>
      </c>
      <c r="G47" s="486">
        <f t="shared" si="21"/>
        <v>53276.755510049508</v>
      </c>
      <c r="H47" s="455">
        <f t="shared" si="22"/>
        <v>53276.755510049508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3">
        <f>IF(F47+SUM(E$17:E47)=D$10,F47,D$10-SUM(E$17:E47))</f>
        <v>254340</v>
      </c>
      <c r="E48" s="484">
        <f>IF(+I14&lt;F47,I14,D48)</f>
        <v>22919</v>
      </c>
      <c r="F48" s="485">
        <f t="shared" si="20"/>
        <v>231421</v>
      </c>
      <c r="G48" s="486">
        <f t="shared" si="21"/>
        <v>50541.167719946403</v>
      </c>
      <c r="H48" s="455">
        <f t="shared" si="22"/>
        <v>50541.167719946403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3">
        <f>IF(F48+SUM(E$17:E48)=D$10,F48,D$10-SUM(E$17:E48))</f>
        <v>231421</v>
      </c>
      <c r="E49" s="484">
        <f>IF(+I14&lt;F48,I14,D49)</f>
        <v>22919</v>
      </c>
      <c r="F49" s="485">
        <f t="shared" ref="F49:F72" si="23">+D49-E49</f>
        <v>208502</v>
      </c>
      <c r="G49" s="486">
        <f t="shared" si="21"/>
        <v>47805.579929843298</v>
      </c>
      <c r="H49" s="455">
        <f t="shared" si="22"/>
        <v>47805.579929843298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3">
        <f>IF(F49+SUM(E$17:E49)=D$10,F49,D$10-SUM(E$17:E49))</f>
        <v>208502</v>
      </c>
      <c r="E50" s="484">
        <f>IF(+I14&lt;F49,I14,D50)</f>
        <v>22919</v>
      </c>
      <c r="F50" s="485">
        <f t="shared" si="23"/>
        <v>185583</v>
      </c>
      <c r="G50" s="486">
        <f t="shared" si="21"/>
        <v>45069.992139740185</v>
      </c>
      <c r="H50" s="455">
        <f t="shared" si="22"/>
        <v>45069.992139740185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3">
        <f>IF(F50+SUM(E$17:E50)=D$10,F50,D$10-SUM(E$17:E50))</f>
        <v>185583</v>
      </c>
      <c r="E51" s="484">
        <f>IF(+I14&lt;F50,I14,D51)</f>
        <v>22919</v>
      </c>
      <c r="F51" s="485">
        <f t="shared" si="23"/>
        <v>162664</v>
      </c>
      <c r="G51" s="486">
        <f t="shared" si="21"/>
        <v>42334.404349637072</v>
      </c>
      <c r="H51" s="455">
        <f t="shared" si="22"/>
        <v>42334.404349637072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3">
        <f>IF(F51+SUM(E$17:E51)=D$10,F51,D$10-SUM(E$17:E51))</f>
        <v>162664</v>
      </c>
      <c r="E52" s="484">
        <f>IF(+I14&lt;F51,I14,D52)</f>
        <v>22919</v>
      </c>
      <c r="F52" s="485">
        <f t="shared" si="23"/>
        <v>139745</v>
      </c>
      <c r="G52" s="486">
        <f t="shared" si="21"/>
        <v>39598.816559533967</v>
      </c>
      <c r="H52" s="455">
        <f t="shared" si="22"/>
        <v>39598.816559533967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3">
        <f>IF(F52+SUM(E$17:E52)=D$10,F52,D$10-SUM(E$17:E52))</f>
        <v>139745</v>
      </c>
      <c r="E53" s="484">
        <f>IF(+I14&lt;F52,I14,D53)</f>
        <v>22919</v>
      </c>
      <c r="F53" s="485">
        <f t="shared" si="23"/>
        <v>116826</v>
      </c>
      <c r="G53" s="486">
        <f t="shared" si="21"/>
        <v>36863.228769430862</v>
      </c>
      <c r="H53" s="455">
        <f t="shared" si="22"/>
        <v>36863.228769430862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3">
        <f>IF(F53+SUM(E$17:E53)=D$10,F53,D$10-SUM(E$17:E53))</f>
        <v>116826</v>
      </c>
      <c r="E54" s="484">
        <f>IF(+I14&lt;F53,I14,D54)</f>
        <v>22919</v>
      </c>
      <c r="F54" s="485">
        <f t="shared" si="23"/>
        <v>93907</v>
      </c>
      <c r="G54" s="486">
        <f t="shared" si="21"/>
        <v>34127.640979327749</v>
      </c>
      <c r="H54" s="455">
        <f t="shared" si="22"/>
        <v>34127.640979327749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3">
        <f>IF(F54+SUM(E$17:E54)=D$10,F54,D$10-SUM(E$17:E54))</f>
        <v>93907</v>
      </c>
      <c r="E55" s="484">
        <f>IF(+I14&lt;F54,I14,D55)</f>
        <v>22919</v>
      </c>
      <c r="F55" s="485">
        <f t="shared" si="23"/>
        <v>70988</v>
      </c>
      <c r="G55" s="486">
        <f t="shared" si="21"/>
        <v>31392.05318922464</v>
      </c>
      <c r="H55" s="455">
        <f t="shared" si="22"/>
        <v>31392.05318922464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3">
        <f>IF(F55+SUM(E$17:E55)=D$10,F55,D$10-SUM(E$17:E55))</f>
        <v>70988</v>
      </c>
      <c r="E56" s="484">
        <f>IF(+I14&lt;F55,I14,D56)</f>
        <v>22919</v>
      </c>
      <c r="F56" s="485">
        <f t="shared" si="23"/>
        <v>48069</v>
      </c>
      <c r="G56" s="486">
        <f t="shared" si="21"/>
        <v>28656.465399121531</v>
      </c>
      <c r="H56" s="455">
        <f t="shared" si="22"/>
        <v>28656.465399121531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3">
        <f>IF(F56+SUM(E$17:E56)=D$10,F56,D$10-SUM(E$17:E56))</f>
        <v>48069</v>
      </c>
      <c r="E57" s="484">
        <f>IF(+I14&lt;F56,I14,D57)</f>
        <v>22919</v>
      </c>
      <c r="F57" s="485">
        <f t="shared" si="23"/>
        <v>25150</v>
      </c>
      <c r="G57" s="486">
        <f t="shared" si="21"/>
        <v>25920.877609018422</v>
      </c>
      <c r="H57" s="455">
        <f t="shared" si="22"/>
        <v>25920.877609018422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3">
        <f>IF(F57+SUM(E$17:E57)=D$10,F57,D$10-SUM(E$17:E57))</f>
        <v>25150</v>
      </c>
      <c r="E58" s="484">
        <f>IF(+I14&lt;F57,I14,D58)</f>
        <v>22919</v>
      </c>
      <c r="F58" s="485">
        <f t="shared" si="23"/>
        <v>2231</v>
      </c>
      <c r="G58" s="486">
        <f t="shared" si="21"/>
        <v>23185.289818915313</v>
      </c>
      <c r="H58" s="455">
        <f t="shared" si="22"/>
        <v>23185.289818915313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3">
        <f>IF(F58+SUM(E$17:E58)=D$10,F58,D$10-SUM(E$17:E58))</f>
        <v>2231</v>
      </c>
      <c r="E59" s="484">
        <f>IF(+I14&lt;F58,I14,D59)</f>
        <v>2231</v>
      </c>
      <c r="F59" s="485">
        <f t="shared" si="23"/>
        <v>0</v>
      </c>
      <c r="G59" s="486">
        <f t="shared" si="21"/>
        <v>2231</v>
      </c>
      <c r="H59" s="455">
        <f t="shared" si="22"/>
        <v>2231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3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3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3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3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3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1:16" ht="12.5">
      <c r="B65" s="160" t="str">
        <f t="shared" si="6"/>
        <v/>
      </c>
      <c r="C65" s="472">
        <f>IF(D11="","-",+C64+1)</f>
        <v>2057</v>
      </c>
      <c r="D65" s="483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1:16" ht="12.5">
      <c r="B66" s="160" t="str">
        <f t="shared" si="6"/>
        <v/>
      </c>
      <c r="C66" s="472">
        <f>IF(D11="","-",+C65+1)</f>
        <v>2058</v>
      </c>
      <c r="D66" s="483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1:16" ht="12.5">
      <c r="B67" s="160" t="str">
        <f t="shared" si="6"/>
        <v/>
      </c>
      <c r="C67" s="472">
        <f>IF(D11="","-",+C66+1)</f>
        <v>2059</v>
      </c>
      <c r="D67" s="483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1:16" ht="12.5">
      <c r="B68" s="160" t="str">
        <f t="shared" si="6"/>
        <v/>
      </c>
      <c r="C68" s="472">
        <f>IF(D11="","-",+C67+1)</f>
        <v>2060</v>
      </c>
      <c r="D68" s="483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1:16" ht="12.5">
      <c r="B69" s="160" t="str">
        <f t="shared" si="6"/>
        <v/>
      </c>
      <c r="C69" s="472">
        <f>IF(D11="","-",+C68+1)</f>
        <v>2061</v>
      </c>
      <c r="D69" s="483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1:16" ht="12.5">
      <c r="B70" s="160" t="str">
        <f t="shared" si="6"/>
        <v/>
      </c>
      <c r="C70" s="472">
        <f>IF(D11="","-",+C69+1)</f>
        <v>2062</v>
      </c>
      <c r="D70" s="483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1:16" ht="12.5">
      <c r="B71" s="160" t="str">
        <f t="shared" si="6"/>
        <v/>
      </c>
      <c r="C71" s="472">
        <f>IF(D11="","-",+C70+1)</f>
        <v>2063</v>
      </c>
      <c r="D71" s="483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1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1:16" ht="12.5">
      <c r="C73" s="346" t="s">
        <v>77</v>
      </c>
      <c r="D73" s="347"/>
      <c r="E73" s="347">
        <f>SUM(E17:E72)</f>
        <v>893858</v>
      </c>
      <c r="F73" s="347"/>
      <c r="G73" s="347">
        <f>SUM(G17:G72)</f>
        <v>3280820.8482679883</v>
      </c>
      <c r="H73" s="347">
        <f>SUM(H17:H72)</f>
        <v>3280820.8482679883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1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1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1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1:16" ht="17.5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497"/>
      <c r="P77" s="242"/>
    </row>
    <row r="78" spans="1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1:16" ht="15.5">
      <c r="A79" s="498"/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</row>
    <row r="80" spans="1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499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1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92514.814817027102</v>
      </c>
      <c r="N87" s="508">
        <f>IF(J92&lt;D11,0,VLOOKUP(J92,C17:O72,11))</f>
        <v>92514.814817027102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97958.021560633977</v>
      </c>
      <c r="N88" s="512">
        <f>IF(J92&lt;D11,0,VLOOKUP(J92,C99:P154,7))</f>
        <v>97958.021560633977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Riverside-Glenpool (81-523) Reconductor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5443.2067436068755</v>
      </c>
      <c r="N89" s="517">
        <f>+N88-N87</f>
        <v>5443.2067436068755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TP2006087</v>
      </c>
      <c r="E91" s="522"/>
      <c r="F91" s="522"/>
      <c r="G91" s="522"/>
      <c r="H91" s="522"/>
      <c r="I91" s="522"/>
      <c r="J91" s="523"/>
      <c r="K91" s="524"/>
      <c r="P91" s="445"/>
    </row>
    <row r="92" spans="1:16" ht="13">
      <c r="C92" s="446" t="s">
        <v>226</v>
      </c>
      <c r="D92" s="447">
        <v>893858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21801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7981</v>
      </c>
      <c r="F99" s="479">
        <v>885877</v>
      </c>
      <c r="G99" s="537">
        <v>442938.5</v>
      </c>
      <c r="H99" s="538">
        <v>72742</v>
      </c>
      <c r="I99" s="539">
        <v>72742</v>
      </c>
      <c r="J99" s="478">
        <f t="shared" ref="J99:J130" si="28">+I99-H99</f>
        <v>0</v>
      </c>
      <c r="K99" s="478"/>
      <c r="L99" s="476">
        <f t="shared" ref="L99:L104" si="29">H99</f>
        <v>72742</v>
      </c>
      <c r="M99" s="477">
        <f t="shared" ref="M99:M130" si="30">IF(L99&lt;&gt;0,+H99-L99,0)</f>
        <v>0</v>
      </c>
      <c r="N99" s="476">
        <f t="shared" ref="N99:N104" si="31">I99</f>
        <v>72742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 ht="12.5">
      <c r="B100" s="160" t="str">
        <f>IF(D100=F99,"","IU")</f>
        <v/>
      </c>
      <c r="C100" s="472">
        <f>IF(D93="","-",+C99+1)</f>
        <v>2010</v>
      </c>
      <c r="D100" s="473">
        <v>885877</v>
      </c>
      <c r="E100" s="480">
        <v>17527</v>
      </c>
      <c r="F100" s="479">
        <v>868350</v>
      </c>
      <c r="G100" s="479">
        <v>877113.5</v>
      </c>
      <c r="H100" s="538">
        <v>158580.20000000001</v>
      </c>
      <c r="I100" s="539">
        <v>158580.20000000001</v>
      </c>
      <c r="J100" s="478">
        <f t="shared" si="28"/>
        <v>0</v>
      </c>
      <c r="K100" s="478"/>
      <c r="L100" s="476">
        <f t="shared" si="29"/>
        <v>158580.20000000001</v>
      </c>
      <c r="M100" s="478">
        <f t="shared" si="30"/>
        <v>0</v>
      </c>
      <c r="N100" s="476">
        <f t="shared" si="31"/>
        <v>158580.20000000001</v>
      </c>
      <c r="O100" s="478">
        <f t="shared" si="32"/>
        <v>0</v>
      </c>
      <c r="P100" s="478">
        <f t="shared" si="33"/>
        <v>0</v>
      </c>
    </row>
    <row r="101" spans="1:16" ht="12.5">
      <c r="B101" s="160" t="str">
        <f t="shared" ref="B101:B154" si="34">IF(D101=F100,"","IU")</f>
        <v/>
      </c>
      <c r="C101" s="482">
        <f>IF(D93="","-",+C100+1)</f>
        <v>2011</v>
      </c>
      <c r="D101" s="473">
        <v>868350</v>
      </c>
      <c r="E101" s="480">
        <v>17190</v>
      </c>
      <c r="F101" s="479">
        <v>851160</v>
      </c>
      <c r="G101" s="479">
        <v>859755</v>
      </c>
      <c r="H101" s="480">
        <v>137395.30233025842</v>
      </c>
      <c r="I101" s="481">
        <v>137395.30233025842</v>
      </c>
      <c r="J101" s="478">
        <f t="shared" si="28"/>
        <v>0</v>
      </c>
      <c r="K101" s="478"/>
      <c r="L101" s="540">
        <f t="shared" si="29"/>
        <v>137395.30233025842</v>
      </c>
      <c r="M101" s="541">
        <f t="shared" si="30"/>
        <v>0</v>
      </c>
      <c r="N101" s="540">
        <f t="shared" si="31"/>
        <v>137395.30233025842</v>
      </c>
      <c r="O101" s="478">
        <f t="shared" si="32"/>
        <v>0</v>
      </c>
      <c r="P101" s="478">
        <f t="shared" si="33"/>
        <v>0</v>
      </c>
    </row>
    <row r="102" spans="1:16" ht="12.5">
      <c r="B102" s="160" t="str">
        <f t="shared" si="34"/>
        <v/>
      </c>
      <c r="C102" s="482">
        <f>IF(D93="","-",+C101+1)</f>
        <v>2012</v>
      </c>
      <c r="D102" s="473">
        <v>851160</v>
      </c>
      <c r="E102" s="480">
        <v>17190</v>
      </c>
      <c r="F102" s="479">
        <v>833970</v>
      </c>
      <c r="G102" s="479">
        <v>842565</v>
      </c>
      <c r="H102" s="480">
        <v>138397.59402070014</v>
      </c>
      <c r="I102" s="481">
        <v>138397.59402070014</v>
      </c>
      <c r="J102" s="478">
        <v>0</v>
      </c>
      <c r="K102" s="478"/>
      <c r="L102" s="540">
        <f t="shared" si="29"/>
        <v>138397.59402070014</v>
      </c>
      <c r="M102" s="541">
        <f t="shared" ref="M102:M107" si="35">IF(L102&lt;&gt;0,+H102-L102,0)</f>
        <v>0</v>
      </c>
      <c r="N102" s="540">
        <f t="shared" si="31"/>
        <v>138397.59402070014</v>
      </c>
      <c r="O102" s="478">
        <f t="shared" ref="O102:O107" si="36">IF(N102&lt;&gt;0,+I102-N102,0)</f>
        <v>0</v>
      </c>
      <c r="P102" s="478">
        <f t="shared" ref="P102:P107" si="37">+O102-M102</f>
        <v>0</v>
      </c>
    </row>
    <row r="103" spans="1:16" ht="12.5">
      <c r="B103" s="160" t="str">
        <f t="shared" si="34"/>
        <v/>
      </c>
      <c r="C103" s="472">
        <f>IF(D93="","-",+C102+1)</f>
        <v>2013</v>
      </c>
      <c r="D103" s="473">
        <v>833970</v>
      </c>
      <c r="E103" s="480">
        <v>17190</v>
      </c>
      <c r="F103" s="479">
        <v>816780</v>
      </c>
      <c r="G103" s="479">
        <v>825375</v>
      </c>
      <c r="H103" s="480">
        <v>135994.14234787846</v>
      </c>
      <c r="I103" s="481">
        <v>135994.14234787846</v>
      </c>
      <c r="J103" s="478">
        <v>0</v>
      </c>
      <c r="K103" s="478"/>
      <c r="L103" s="540">
        <f t="shared" si="29"/>
        <v>135994.14234787846</v>
      </c>
      <c r="M103" s="541">
        <f t="shared" si="35"/>
        <v>0</v>
      </c>
      <c r="N103" s="540">
        <f t="shared" si="31"/>
        <v>135994.14234787846</v>
      </c>
      <c r="O103" s="478">
        <f t="shared" si="36"/>
        <v>0</v>
      </c>
      <c r="P103" s="478">
        <f t="shared" si="37"/>
        <v>0</v>
      </c>
    </row>
    <row r="104" spans="1:16" ht="12.5">
      <c r="B104" s="160" t="str">
        <f t="shared" si="34"/>
        <v/>
      </c>
      <c r="C104" s="472">
        <f>IF(D93="","-",+C103+1)</f>
        <v>2014</v>
      </c>
      <c r="D104" s="473">
        <v>816780</v>
      </c>
      <c r="E104" s="480">
        <v>17190</v>
      </c>
      <c r="F104" s="479">
        <v>799590</v>
      </c>
      <c r="G104" s="479">
        <v>808185</v>
      </c>
      <c r="H104" s="480">
        <v>130817.50733584017</v>
      </c>
      <c r="I104" s="481">
        <v>130817.50733584017</v>
      </c>
      <c r="J104" s="478">
        <v>0</v>
      </c>
      <c r="K104" s="478"/>
      <c r="L104" s="540">
        <f t="shared" si="29"/>
        <v>130817.50733584017</v>
      </c>
      <c r="M104" s="541">
        <f t="shared" si="35"/>
        <v>0</v>
      </c>
      <c r="N104" s="540">
        <f t="shared" si="31"/>
        <v>130817.50733584017</v>
      </c>
      <c r="O104" s="478">
        <f t="shared" si="36"/>
        <v>0</v>
      </c>
      <c r="P104" s="478">
        <f t="shared" si="37"/>
        <v>0</v>
      </c>
    </row>
    <row r="105" spans="1:16" ht="12.5">
      <c r="B105" s="160" t="str">
        <f t="shared" si="34"/>
        <v/>
      </c>
      <c r="C105" s="472">
        <f>IF(D93="","-",+C104+1)</f>
        <v>2015</v>
      </c>
      <c r="D105" s="473">
        <v>799590</v>
      </c>
      <c r="E105" s="480">
        <v>17190</v>
      </c>
      <c r="F105" s="479">
        <v>782400</v>
      </c>
      <c r="G105" s="479">
        <v>790995</v>
      </c>
      <c r="H105" s="480">
        <v>125114.9078367878</v>
      </c>
      <c r="I105" s="481">
        <v>125114.9078367878</v>
      </c>
      <c r="J105" s="478">
        <f t="shared" si="28"/>
        <v>0</v>
      </c>
      <c r="K105" s="478"/>
      <c r="L105" s="540">
        <f t="shared" ref="L105:L110" si="38">H105</f>
        <v>125114.9078367878</v>
      </c>
      <c r="M105" s="541">
        <f t="shared" si="35"/>
        <v>0</v>
      </c>
      <c r="N105" s="540">
        <f t="shared" ref="N105:N110" si="39">I105</f>
        <v>125114.9078367878</v>
      </c>
      <c r="O105" s="478">
        <f t="shared" si="36"/>
        <v>0</v>
      </c>
      <c r="P105" s="478">
        <f t="shared" si="37"/>
        <v>0</v>
      </c>
    </row>
    <row r="106" spans="1:16" ht="12.5">
      <c r="B106" s="160" t="str">
        <f t="shared" si="34"/>
        <v/>
      </c>
      <c r="C106" s="472">
        <f>IF(D93="","-",+C105+1)</f>
        <v>2016</v>
      </c>
      <c r="D106" s="473">
        <v>782400</v>
      </c>
      <c r="E106" s="480">
        <v>19432</v>
      </c>
      <c r="F106" s="479">
        <v>762968</v>
      </c>
      <c r="G106" s="479">
        <v>772684</v>
      </c>
      <c r="H106" s="480">
        <v>119043.13650322839</v>
      </c>
      <c r="I106" s="481">
        <v>119043.13650322839</v>
      </c>
      <c r="J106" s="478">
        <f t="shared" si="28"/>
        <v>0</v>
      </c>
      <c r="K106" s="478"/>
      <c r="L106" s="540">
        <f t="shared" si="38"/>
        <v>119043.13650322839</v>
      </c>
      <c r="M106" s="541">
        <f t="shared" si="35"/>
        <v>0</v>
      </c>
      <c r="N106" s="540">
        <f t="shared" si="39"/>
        <v>119043.13650322839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4"/>
        <v/>
      </c>
      <c r="C107" s="472">
        <f>IF(D93="","-",+C106+1)</f>
        <v>2017</v>
      </c>
      <c r="D107" s="473">
        <v>762968</v>
      </c>
      <c r="E107" s="480">
        <v>19432</v>
      </c>
      <c r="F107" s="479">
        <v>743536</v>
      </c>
      <c r="G107" s="479">
        <v>753252</v>
      </c>
      <c r="H107" s="480">
        <v>114983.91552559278</v>
      </c>
      <c r="I107" s="481">
        <v>114983.91552559278</v>
      </c>
      <c r="J107" s="478">
        <f t="shared" si="28"/>
        <v>0</v>
      </c>
      <c r="K107" s="478"/>
      <c r="L107" s="540">
        <f t="shared" si="38"/>
        <v>114983.91552559278</v>
      </c>
      <c r="M107" s="541">
        <f t="shared" si="35"/>
        <v>0</v>
      </c>
      <c r="N107" s="540">
        <f t="shared" si="39"/>
        <v>114983.91552559278</v>
      </c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4"/>
        <v/>
      </c>
      <c r="C108" s="472">
        <f>IF(D93="","-",+C107+1)</f>
        <v>2018</v>
      </c>
      <c r="D108" s="473">
        <v>743536</v>
      </c>
      <c r="E108" s="480">
        <v>20787</v>
      </c>
      <c r="F108" s="479">
        <v>722749</v>
      </c>
      <c r="G108" s="479">
        <v>733142.5</v>
      </c>
      <c r="H108" s="480">
        <v>96106.810302403712</v>
      </c>
      <c r="I108" s="481">
        <v>96106.810302403712</v>
      </c>
      <c r="J108" s="478">
        <f t="shared" si="28"/>
        <v>0</v>
      </c>
      <c r="K108" s="478"/>
      <c r="L108" s="540">
        <f t="shared" si="38"/>
        <v>96106.810302403712</v>
      </c>
      <c r="M108" s="541">
        <f t="shared" ref="M108" si="40">IF(L108&lt;&gt;0,+H108-L108,0)</f>
        <v>0</v>
      </c>
      <c r="N108" s="540">
        <f t="shared" si="39"/>
        <v>96106.810302403712</v>
      </c>
      <c r="O108" s="478">
        <f t="shared" ref="O108" si="41">IF(N108&lt;&gt;0,+I108-N108,0)</f>
        <v>0</v>
      </c>
      <c r="P108" s="478">
        <f t="shared" ref="P108" si="42">+O108-M108</f>
        <v>0</v>
      </c>
    </row>
    <row r="109" spans="1:16" ht="12.5">
      <c r="B109" s="160" t="str">
        <f t="shared" si="34"/>
        <v/>
      </c>
      <c r="C109" s="472">
        <f>IF(D93="","-",+C108+1)</f>
        <v>2019</v>
      </c>
      <c r="D109" s="473">
        <v>722749</v>
      </c>
      <c r="E109" s="480">
        <v>21801</v>
      </c>
      <c r="F109" s="479">
        <v>700948</v>
      </c>
      <c r="G109" s="479">
        <v>711848.5</v>
      </c>
      <c r="H109" s="480">
        <v>95202.564794457576</v>
      </c>
      <c r="I109" s="481">
        <v>95202.564794457576</v>
      </c>
      <c r="J109" s="478">
        <f t="shared" si="28"/>
        <v>0</v>
      </c>
      <c r="K109" s="478"/>
      <c r="L109" s="540">
        <f t="shared" si="38"/>
        <v>95202.564794457576</v>
      </c>
      <c r="M109" s="541">
        <f t="shared" ref="M109:M110" si="43">IF(L109&lt;&gt;0,+H109-L109,0)</f>
        <v>0</v>
      </c>
      <c r="N109" s="540">
        <f t="shared" si="39"/>
        <v>95202.564794457576</v>
      </c>
      <c r="O109" s="478">
        <f t="shared" si="32"/>
        <v>0</v>
      </c>
      <c r="P109" s="478">
        <f t="shared" si="33"/>
        <v>0</v>
      </c>
    </row>
    <row r="110" spans="1:16" ht="12.5">
      <c r="B110" s="160" t="str">
        <f t="shared" si="34"/>
        <v/>
      </c>
      <c r="C110" s="472">
        <f>IF(D93="","-",+C109+1)</f>
        <v>2020</v>
      </c>
      <c r="D110" s="473">
        <v>700948</v>
      </c>
      <c r="E110" s="480">
        <v>20787</v>
      </c>
      <c r="F110" s="479">
        <v>680161</v>
      </c>
      <c r="G110" s="479">
        <v>690554.5</v>
      </c>
      <c r="H110" s="480">
        <v>100406.03532694498</v>
      </c>
      <c r="I110" s="481">
        <v>100406.03532694498</v>
      </c>
      <c r="J110" s="478">
        <f t="shared" si="28"/>
        <v>0</v>
      </c>
      <c r="K110" s="478"/>
      <c r="L110" s="540">
        <f t="shared" si="38"/>
        <v>100406.03532694498</v>
      </c>
      <c r="M110" s="541">
        <f t="shared" si="43"/>
        <v>0</v>
      </c>
      <c r="N110" s="540">
        <f t="shared" si="39"/>
        <v>100406.03532694498</v>
      </c>
      <c r="O110" s="478">
        <f t="shared" si="32"/>
        <v>0</v>
      </c>
      <c r="P110" s="478">
        <f t="shared" si="33"/>
        <v>0</v>
      </c>
    </row>
    <row r="111" spans="1:16" ht="12.5">
      <c r="B111" s="160" t="str">
        <f t="shared" si="34"/>
        <v/>
      </c>
      <c r="C111" s="472">
        <f>IF(D93="","-",+C110+1)</f>
        <v>2021</v>
      </c>
      <c r="D111" s="346">
        <f>IF(F110+SUM(E$99:E110)=D$92,F110,D$92-SUM(E$99:E110))</f>
        <v>680161</v>
      </c>
      <c r="E111" s="486">
        <f>IF(+J96&lt;F110,J96,D111)</f>
        <v>21801</v>
      </c>
      <c r="F111" s="485">
        <f t="shared" ref="F111:F130" si="44">+D111-E111</f>
        <v>658360</v>
      </c>
      <c r="G111" s="485">
        <f t="shared" ref="G111:G130" si="45">+(F111+D111)/2</f>
        <v>669260.5</v>
      </c>
      <c r="H111" s="488">
        <f t="shared" ref="H111:H131" si="46">+J$94*G111+E111</f>
        <v>97958.021560633977</v>
      </c>
      <c r="I111" s="542">
        <f t="shared" ref="I111:I131" si="47">+J$95*G111+E111</f>
        <v>97958.021560633977</v>
      </c>
      <c r="J111" s="478">
        <f t="shared" si="28"/>
        <v>0</v>
      </c>
      <c r="K111" s="478"/>
      <c r="L111" s="487"/>
      <c r="M111" s="478">
        <f t="shared" si="30"/>
        <v>0</v>
      </c>
      <c r="N111" s="487"/>
      <c r="O111" s="478">
        <f t="shared" si="32"/>
        <v>0</v>
      </c>
      <c r="P111" s="478">
        <f t="shared" si="33"/>
        <v>0</v>
      </c>
    </row>
    <row r="112" spans="1:16" ht="12.5">
      <c r="B112" s="160" t="str">
        <f t="shared" si="34"/>
        <v/>
      </c>
      <c r="C112" s="472">
        <f>IF(D93="","-",+C111+1)</f>
        <v>2022</v>
      </c>
      <c r="D112" s="346">
        <f>IF(F111+SUM(E$99:E111)=D$92,F111,D$92-SUM(E$99:E111))</f>
        <v>658360</v>
      </c>
      <c r="E112" s="486">
        <f>IF(+J96&lt;F111,J96,D112)</f>
        <v>21801</v>
      </c>
      <c r="F112" s="485">
        <f t="shared" si="44"/>
        <v>636559</v>
      </c>
      <c r="G112" s="485">
        <f t="shared" si="45"/>
        <v>647459.5</v>
      </c>
      <c r="H112" s="488">
        <f t="shared" si="46"/>
        <v>95477.224879755042</v>
      </c>
      <c r="I112" s="542">
        <f t="shared" si="47"/>
        <v>95477.224879755042</v>
      </c>
      <c r="J112" s="478">
        <f t="shared" si="28"/>
        <v>0</v>
      </c>
      <c r="K112" s="478"/>
      <c r="L112" s="487"/>
      <c r="M112" s="478">
        <f t="shared" si="30"/>
        <v>0</v>
      </c>
      <c r="N112" s="487"/>
      <c r="O112" s="478">
        <f t="shared" si="32"/>
        <v>0</v>
      </c>
      <c r="P112" s="478">
        <f t="shared" si="33"/>
        <v>0</v>
      </c>
    </row>
    <row r="113" spans="2:16" ht="12.5">
      <c r="B113" s="160" t="str">
        <f t="shared" si="34"/>
        <v/>
      </c>
      <c r="C113" s="472">
        <f>IF(D93="","-",+C112+1)</f>
        <v>2023</v>
      </c>
      <c r="D113" s="346">
        <f>IF(F112+SUM(E$99:E112)=D$92,F112,D$92-SUM(E$99:E112))</f>
        <v>636559</v>
      </c>
      <c r="E113" s="486">
        <f>IF(+J96&lt;F112,J96,D113)</f>
        <v>21801</v>
      </c>
      <c r="F113" s="485">
        <f t="shared" si="44"/>
        <v>614758</v>
      </c>
      <c r="G113" s="485">
        <f t="shared" si="45"/>
        <v>625658.5</v>
      </c>
      <c r="H113" s="488">
        <f t="shared" si="46"/>
        <v>92996.428198876092</v>
      </c>
      <c r="I113" s="542">
        <f t="shared" si="47"/>
        <v>92996.428198876092</v>
      </c>
      <c r="J113" s="478">
        <f t="shared" si="28"/>
        <v>0</v>
      </c>
      <c r="K113" s="478"/>
      <c r="L113" s="487"/>
      <c r="M113" s="478">
        <f t="shared" si="30"/>
        <v>0</v>
      </c>
      <c r="N113" s="487"/>
      <c r="O113" s="478">
        <f t="shared" si="32"/>
        <v>0</v>
      </c>
      <c r="P113" s="478">
        <f t="shared" si="33"/>
        <v>0</v>
      </c>
    </row>
    <row r="114" spans="2:16" ht="12.5">
      <c r="B114" s="160" t="str">
        <f t="shared" si="34"/>
        <v/>
      </c>
      <c r="C114" s="472">
        <f>IF(D93="","-",+C113+1)</f>
        <v>2024</v>
      </c>
      <c r="D114" s="346">
        <f>IF(F113+SUM(E$99:E113)=D$92,F113,D$92-SUM(E$99:E113))</f>
        <v>614758</v>
      </c>
      <c r="E114" s="486">
        <f>IF(+J96&lt;F113,J96,D114)</f>
        <v>21801</v>
      </c>
      <c r="F114" s="485">
        <f t="shared" si="44"/>
        <v>592957</v>
      </c>
      <c r="G114" s="485">
        <f t="shared" si="45"/>
        <v>603857.5</v>
      </c>
      <c r="H114" s="488">
        <f t="shared" si="46"/>
        <v>90515.631517997157</v>
      </c>
      <c r="I114" s="542">
        <f t="shared" si="47"/>
        <v>90515.631517997157</v>
      </c>
      <c r="J114" s="478">
        <f t="shared" si="28"/>
        <v>0</v>
      </c>
      <c r="K114" s="478"/>
      <c r="L114" s="487"/>
      <c r="M114" s="478">
        <f t="shared" si="30"/>
        <v>0</v>
      </c>
      <c r="N114" s="487"/>
      <c r="O114" s="478">
        <f t="shared" si="32"/>
        <v>0</v>
      </c>
      <c r="P114" s="478">
        <f t="shared" si="33"/>
        <v>0</v>
      </c>
    </row>
    <row r="115" spans="2:16" ht="12.5">
      <c r="B115" s="160" t="str">
        <f t="shared" si="34"/>
        <v/>
      </c>
      <c r="C115" s="472">
        <f>IF(D93="","-",+C114+1)</f>
        <v>2025</v>
      </c>
      <c r="D115" s="346">
        <f>IF(F114+SUM(E$99:E114)=D$92,F114,D$92-SUM(E$99:E114))</f>
        <v>592957</v>
      </c>
      <c r="E115" s="486">
        <f>IF(+J96&lt;F114,J96,D115)</f>
        <v>21801</v>
      </c>
      <c r="F115" s="485">
        <f t="shared" si="44"/>
        <v>571156</v>
      </c>
      <c r="G115" s="485">
        <f t="shared" si="45"/>
        <v>582056.5</v>
      </c>
      <c r="H115" s="488">
        <f t="shared" si="46"/>
        <v>88034.834837118207</v>
      </c>
      <c r="I115" s="542">
        <f t="shared" si="47"/>
        <v>88034.834837118207</v>
      </c>
      <c r="J115" s="478">
        <f t="shared" si="28"/>
        <v>0</v>
      </c>
      <c r="K115" s="478"/>
      <c r="L115" s="487"/>
      <c r="M115" s="478">
        <f t="shared" si="30"/>
        <v>0</v>
      </c>
      <c r="N115" s="487"/>
      <c r="O115" s="478">
        <f t="shared" si="32"/>
        <v>0</v>
      </c>
      <c r="P115" s="478">
        <f t="shared" si="33"/>
        <v>0</v>
      </c>
    </row>
    <row r="116" spans="2:16" ht="12.5">
      <c r="B116" s="160" t="str">
        <f t="shared" si="34"/>
        <v/>
      </c>
      <c r="C116" s="472">
        <f>IF(D93="","-",+C115+1)</f>
        <v>2026</v>
      </c>
      <c r="D116" s="346">
        <f>IF(F115+SUM(E$99:E115)=D$92,F115,D$92-SUM(E$99:E115))</f>
        <v>571156</v>
      </c>
      <c r="E116" s="486">
        <f>IF(+J96&lt;F115,J96,D116)</f>
        <v>21801</v>
      </c>
      <c r="F116" s="485">
        <f t="shared" si="44"/>
        <v>549355</v>
      </c>
      <c r="G116" s="485">
        <f t="shared" si="45"/>
        <v>560255.5</v>
      </c>
      <c r="H116" s="488">
        <f t="shared" si="46"/>
        <v>85554.038156239272</v>
      </c>
      <c r="I116" s="542">
        <f t="shared" si="47"/>
        <v>85554.038156239272</v>
      </c>
      <c r="J116" s="478">
        <f t="shared" si="28"/>
        <v>0</v>
      </c>
      <c r="K116" s="478"/>
      <c r="L116" s="487"/>
      <c r="M116" s="478">
        <f t="shared" si="30"/>
        <v>0</v>
      </c>
      <c r="N116" s="487"/>
      <c r="O116" s="478">
        <f t="shared" si="32"/>
        <v>0</v>
      </c>
      <c r="P116" s="478">
        <f t="shared" si="33"/>
        <v>0</v>
      </c>
    </row>
    <row r="117" spans="2:16" ht="12.5">
      <c r="B117" s="160" t="str">
        <f t="shared" si="34"/>
        <v/>
      </c>
      <c r="C117" s="472">
        <f>IF(D93="","-",+C116+1)</f>
        <v>2027</v>
      </c>
      <c r="D117" s="346">
        <f>IF(F116+SUM(E$99:E116)=D$92,F116,D$92-SUM(E$99:E116))</f>
        <v>549355</v>
      </c>
      <c r="E117" s="486">
        <f>IF(+J96&lt;F116,J96,D117)</f>
        <v>21801</v>
      </c>
      <c r="F117" s="485">
        <f t="shared" si="44"/>
        <v>527554</v>
      </c>
      <c r="G117" s="485">
        <f t="shared" si="45"/>
        <v>538454.5</v>
      </c>
      <c r="H117" s="488">
        <f t="shared" si="46"/>
        <v>83073.241475360323</v>
      </c>
      <c r="I117" s="542">
        <f t="shared" si="47"/>
        <v>83073.241475360323</v>
      </c>
      <c r="J117" s="478">
        <f t="shared" si="28"/>
        <v>0</v>
      </c>
      <c r="K117" s="478"/>
      <c r="L117" s="487"/>
      <c r="M117" s="478">
        <f t="shared" si="30"/>
        <v>0</v>
      </c>
      <c r="N117" s="487"/>
      <c r="O117" s="478">
        <f t="shared" si="32"/>
        <v>0</v>
      </c>
      <c r="P117" s="478">
        <f t="shared" si="33"/>
        <v>0</v>
      </c>
    </row>
    <row r="118" spans="2:16" ht="12.5">
      <c r="B118" s="160" t="str">
        <f t="shared" si="34"/>
        <v/>
      </c>
      <c r="C118" s="472">
        <f>IF(D93="","-",+C117+1)</f>
        <v>2028</v>
      </c>
      <c r="D118" s="346">
        <f>IF(F117+SUM(E$99:E117)=D$92,F117,D$92-SUM(E$99:E117))</f>
        <v>527554</v>
      </c>
      <c r="E118" s="486">
        <f>IF(+J96&lt;F117,J96,D118)</f>
        <v>21801</v>
      </c>
      <c r="F118" s="485">
        <f t="shared" si="44"/>
        <v>505753</v>
      </c>
      <c r="G118" s="485">
        <f t="shared" si="45"/>
        <v>516653.5</v>
      </c>
      <c r="H118" s="488">
        <f t="shared" si="46"/>
        <v>80592.444794481387</v>
      </c>
      <c r="I118" s="542">
        <f t="shared" si="47"/>
        <v>80592.444794481387</v>
      </c>
      <c r="J118" s="478">
        <f t="shared" si="28"/>
        <v>0</v>
      </c>
      <c r="K118" s="478"/>
      <c r="L118" s="487"/>
      <c r="M118" s="478">
        <f t="shared" si="30"/>
        <v>0</v>
      </c>
      <c r="N118" s="487"/>
      <c r="O118" s="478">
        <f t="shared" si="32"/>
        <v>0</v>
      </c>
      <c r="P118" s="478">
        <f t="shared" si="33"/>
        <v>0</v>
      </c>
    </row>
    <row r="119" spans="2:16" ht="12.5">
      <c r="B119" s="160" t="str">
        <f t="shared" si="34"/>
        <v/>
      </c>
      <c r="C119" s="472">
        <f>IF(D93="","-",+C118+1)</f>
        <v>2029</v>
      </c>
      <c r="D119" s="346">
        <f>IF(F118+SUM(E$99:E118)=D$92,F118,D$92-SUM(E$99:E118))</f>
        <v>505753</v>
      </c>
      <c r="E119" s="486">
        <f>IF(+J96&lt;F118,J96,D119)</f>
        <v>21801</v>
      </c>
      <c r="F119" s="485">
        <f t="shared" si="44"/>
        <v>483952</v>
      </c>
      <c r="G119" s="485">
        <f t="shared" si="45"/>
        <v>494852.5</v>
      </c>
      <c r="H119" s="488">
        <f t="shared" si="46"/>
        <v>78111.648113602452</v>
      </c>
      <c r="I119" s="542">
        <f t="shared" si="47"/>
        <v>78111.648113602452</v>
      </c>
      <c r="J119" s="478">
        <f t="shared" si="28"/>
        <v>0</v>
      </c>
      <c r="K119" s="478"/>
      <c r="L119" s="487"/>
      <c r="M119" s="478">
        <f t="shared" si="30"/>
        <v>0</v>
      </c>
      <c r="N119" s="487"/>
      <c r="O119" s="478">
        <f t="shared" si="32"/>
        <v>0</v>
      </c>
      <c r="P119" s="478">
        <f t="shared" si="33"/>
        <v>0</v>
      </c>
    </row>
    <row r="120" spans="2:16" ht="12.5">
      <c r="B120" s="160" t="str">
        <f t="shared" si="34"/>
        <v/>
      </c>
      <c r="C120" s="472">
        <f>IF(D93="","-",+C119+1)</f>
        <v>2030</v>
      </c>
      <c r="D120" s="346">
        <f>IF(F119+SUM(E$99:E119)=D$92,F119,D$92-SUM(E$99:E119))</f>
        <v>483952</v>
      </c>
      <c r="E120" s="486">
        <f>IF(+J96&lt;F119,J96,D120)</f>
        <v>21801</v>
      </c>
      <c r="F120" s="485">
        <f t="shared" si="44"/>
        <v>462151</v>
      </c>
      <c r="G120" s="485">
        <f t="shared" si="45"/>
        <v>473051.5</v>
      </c>
      <c r="H120" s="488">
        <f t="shared" si="46"/>
        <v>75630.851432723503</v>
      </c>
      <c r="I120" s="542">
        <f t="shared" si="47"/>
        <v>75630.851432723503</v>
      </c>
      <c r="J120" s="478">
        <f t="shared" si="28"/>
        <v>0</v>
      </c>
      <c r="K120" s="478"/>
      <c r="L120" s="487"/>
      <c r="M120" s="478">
        <f t="shared" si="30"/>
        <v>0</v>
      </c>
      <c r="N120" s="487"/>
      <c r="O120" s="478">
        <f t="shared" si="32"/>
        <v>0</v>
      </c>
      <c r="P120" s="478">
        <f t="shared" si="33"/>
        <v>0</v>
      </c>
    </row>
    <row r="121" spans="2:16" ht="12.5">
      <c r="B121" s="160" t="str">
        <f t="shared" si="34"/>
        <v/>
      </c>
      <c r="C121" s="472">
        <f>IF(D93="","-",+C120+1)</f>
        <v>2031</v>
      </c>
      <c r="D121" s="346">
        <f>IF(F120+SUM(E$99:E120)=D$92,F120,D$92-SUM(E$99:E120))</f>
        <v>462151</v>
      </c>
      <c r="E121" s="486">
        <f>IF(+J96&lt;F120,J96,D121)</f>
        <v>21801</v>
      </c>
      <c r="F121" s="485">
        <f t="shared" si="44"/>
        <v>440350</v>
      </c>
      <c r="G121" s="485">
        <f t="shared" si="45"/>
        <v>451250.5</v>
      </c>
      <c r="H121" s="488">
        <f t="shared" si="46"/>
        <v>73150.054751844553</v>
      </c>
      <c r="I121" s="542">
        <f t="shared" si="47"/>
        <v>73150.054751844553</v>
      </c>
      <c r="J121" s="478">
        <f t="shared" si="28"/>
        <v>0</v>
      </c>
      <c r="K121" s="478"/>
      <c r="L121" s="487"/>
      <c r="M121" s="478">
        <f t="shared" si="30"/>
        <v>0</v>
      </c>
      <c r="N121" s="487"/>
      <c r="O121" s="478">
        <f t="shared" si="32"/>
        <v>0</v>
      </c>
      <c r="P121" s="478">
        <f t="shared" si="33"/>
        <v>0</v>
      </c>
    </row>
    <row r="122" spans="2:16" ht="12.5">
      <c r="B122" s="160" t="str">
        <f t="shared" si="34"/>
        <v/>
      </c>
      <c r="C122" s="472">
        <f>IF(D93="","-",+C121+1)</f>
        <v>2032</v>
      </c>
      <c r="D122" s="346">
        <f>IF(F121+SUM(E$99:E121)=D$92,F121,D$92-SUM(E$99:E121))</f>
        <v>440350</v>
      </c>
      <c r="E122" s="486">
        <f>IF(+J96&lt;F121,J96,D122)</f>
        <v>21801</v>
      </c>
      <c r="F122" s="485">
        <f t="shared" si="44"/>
        <v>418549</v>
      </c>
      <c r="G122" s="485">
        <f t="shared" si="45"/>
        <v>429449.5</v>
      </c>
      <c r="H122" s="488">
        <f t="shared" si="46"/>
        <v>70669.258070965618</v>
      </c>
      <c r="I122" s="542">
        <f t="shared" si="47"/>
        <v>70669.258070965618</v>
      </c>
      <c r="J122" s="478">
        <f t="shared" si="28"/>
        <v>0</v>
      </c>
      <c r="K122" s="478"/>
      <c r="L122" s="487"/>
      <c r="M122" s="478">
        <f t="shared" si="30"/>
        <v>0</v>
      </c>
      <c r="N122" s="487"/>
      <c r="O122" s="478">
        <f t="shared" si="32"/>
        <v>0</v>
      </c>
      <c r="P122" s="478">
        <f t="shared" si="33"/>
        <v>0</v>
      </c>
    </row>
    <row r="123" spans="2:16" ht="12.5">
      <c r="B123" s="160" t="str">
        <f t="shared" si="34"/>
        <v/>
      </c>
      <c r="C123" s="472">
        <f>IF(D93="","-",+C122+1)</f>
        <v>2033</v>
      </c>
      <c r="D123" s="346">
        <f>IF(F122+SUM(E$99:E122)=D$92,F122,D$92-SUM(E$99:E122))</f>
        <v>418549</v>
      </c>
      <c r="E123" s="486">
        <f>IF(+J96&lt;F122,J96,D123)</f>
        <v>21801</v>
      </c>
      <c r="F123" s="485">
        <f t="shared" si="44"/>
        <v>396748</v>
      </c>
      <c r="G123" s="485">
        <f t="shared" si="45"/>
        <v>407648.5</v>
      </c>
      <c r="H123" s="488">
        <f t="shared" si="46"/>
        <v>68188.461390086683</v>
      </c>
      <c r="I123" s="542">
        <f t="shared" si="47"/>
        <v>68188.461390086683</v>
      </c>
      <c r="J123" s="478">
        <f t="shared" si="28"/>
        <v>0</v>
      </c>
      <c r="K123" s="478"/>
      <c r="L123" s="487"/>
      <c r="M123" s="478">
        <f t="shared" si="30"/>
        <v>0</v>
      </c>
      <c r="N123" s="487"/>
      <c r="O123" s="478">
        <f t="shared" si="32"/>
        <v>0</v>
      </c>
      <c r="P123" s="478">
        <f t="shared" si="33"/>
        <v>0</v>
      </c>
    </row>
    <row r="124" spans="2:16" ht="12.5">
      <c r="B124" s="160" t="str">
        <f t="shared" si="34"/>
        <v/>
      </c>
      <c r="C124" s="472">
        <f>IF(D93="","-",+C123+1)</f>
        <v>2034</v>
      </c>
      <c r="D124" s="346">
        <f>IF(F123+SUM(E$99:E123)=D$92,F123,D$92-SUM(E$99:E123))</f>
        <v>396748</v>
      </c>
      <c r="E124" s="486">
        <f>IF(+J96&lt;F123,J96,D124)</f>
        <v>21801</v>
      </c>
      <c r="F124" s="485">
        <f t="shared" si="44"/>
        <v>374947</v>
      </c>
      <c r="G124" s="485">
        <f t="shared" si="45"/>
        <v>385847.5</v>
      </c>
      <c r="H124" s="488">
        <f t="shared" si="46"/>
        <v>65707.664709207733</v>
      </c>
      <c r="I124" s="542">
        <f t="shared" si="47"/>
        <v>65707.664709207733</v>
      </c>
      <c r="J124" s="478">
        <f t="shared" si="28"/>
        <v>0</v>
      </c>
      <c r="K124" s="478"/>
      <c r="L124" s="487"/>
      <c r="M124" s="478">
        <f t="shared" si="30"/>
        <v>0</v>
      </c>
      <c r="N124" s="487"/>
      <c r="O124" s="478">
        <f t="shared" si="32"/>
        <v>0</v>
      </c>
      <c r="P124" s="478">
        <f t="shared" si="33"/>
        <v>0</v>
      </c>
    </row>
    <row r="125" spans="2:16" ht="12.5">
      <c r="B125" s="160" t="str">
        <f t="shared" si="34"/>
        <v/>
      </c>
      <c r="C125" s="472">
        <f>IF(D93="","-",+C124+1)</f>
        <v>2035</v>
      </c>
      <c r="D125" s="346">
        <f>IF(F124+SUM(E$99:E124)=D$92,F124,D$92-SUM(E$99:E124))</f>
        <v>374947</v>
      </c>
      <c r="E125" s="486">
        <f>IF(+J96&lt;F124,J96,D125)</f>
        <v>21801</v>
      </c>
      <c r="F125" s="485">
        <f t="shared" si="44"/>
        <v>353146</v>
      </c>
      <c r="G125" s="485">
        <f t="shared" si="45"/>
        <v>364046.5</v>
      </c>
      <c r="H125" s="488">
        <f t="shared" si="46"/>
        <v>63226.86802832879</v>
      </c>
      <c r="I125" s="542">
        <f t="shared" si="47"/>
        <v>63226.86802832879</v>
      </c>
      <c r="J125" s="478">
        <f t="shared" si="28"/>
        <v>0</v>
      </c>
      <c r="K125" s="478"/>
      <c r="L125" s="487"/>
      <c r="M125" s="478">
        <f t="shared" si="30"/>
        <v>0</v>
      </c>
      <c r="N125" s="487"/>
      <c r="O125" s="478">
        <f t="shared" si="32"/>
        <v>0</v>
      </c>
      <c r="P125" s="478">
        <f t="shared" si="33"/>
        <v>0</v>
      </c>
    </row>
    <row r="126" spans="2:16" ht="12.5">
      <c r="B126" s="160" t="str">
        <f t="shared" si="34"/>
        <v/>
      </c>
      <c r="C126" s="472">
        <f>IF(D93="","-",+C125+1)</f>
        <v>2036</v>
      </c>
      <c r="D126" s="346">
        <f>IF(F125+SUM(E$99:E125)=D$92,F125,D$92-SUM(E$99:E125))</f>
        <v>353146</v>
      </c>
      <c r="E126" s="486">
        <f>IF(+J96&lt;F125,J96,D126)</f>
        <v>21801</v>
      </c>
      <c r="F126" s="485">
        <f t="shared" si="44"/>
        <v>331345</v>
      </c>
      <c r="G126" s="485">
        <f t="shared" si="45"/>
        <v>342245.5</v>
      </c>
      <c r="H126" s="488">
        <f t="shared" si="46"/>
        <v>60746.071347449848</v>
      </c>
      <c r="I126" s="542">
        <f t="shared" si="47"/>
        <v>60746.071347449848</v>
      </c>
      <c r="J126" s="478">
        <f t="shared" si="28"/>
        <v>0</v>
      </c>
      <c r="K126" s="478"/>
      <c r="L126" s="487"/>
      <c r="M126" s="478">
        <f t="shared" si="30"/>
        <v>0</v>
      </c>
      <c r="N126" s="487"/>
      <c r="O126" s="478">
        <f t="shared" si="32"/>
        <v>0</v>
      </c>
      <c r="P126" s="478">
        <f t="shared" si="33"/>
        <v>0</v>
      </c>
    </row>
    <row r="127" spans="2:16" ht="12.5">
      <c r="B127" s="160" t="str">
        <f t="shared" si="34"/>
        <v/>
      </c>
      <c r="C127" s="472">
        <f>IF(D93="","-",+C126+1)</f>
        <v>2037</v>
      </c>
      <c r="D127" s="346">
        <f>IF(F126+SUM(E$99:E126)=D$92,F126,D$92-SUM(E$99:E126))</f>
        <v>331345</v>
      </c>
      <c r="E127" s="486">
        <f>IF(+J96&lt;F126,J96,D127)</f>
        <v>21801</v>
      </c>
      <c r="F127" s="485">
        <f t="shared" si="44"/>
        <v>309544</v>
      </c>
      <c r="G127" s="485">
        <f t="shared" si="45"/>
        <v>320444.5</v>
      </c>
      <c r="H127" s="488">
        <f t="shared" si="46"/>
        <v>58265.274666570906</v>
      </c>
      <c r="I127" s="542">
        <f t="shared" si="47"/>
        <v>58265.274666570906</v>
      </c>
      <c r="J127" s="478">
        <f t="shared" si="28"/>
        <v>0</v>
      </c>
      <c r="K127" s="478"/>
      <c r="L127" s="487"/>
      <c r="M127" s="478">
        <f t="shared" si="30"/>
        <v>0</v>
      </c>
      <c r="N127" s="487"/>
      <c r="O127" s="478">
        <f t="shared" si="32"/>
        <v>0</v>
      </c>
      <c r="P127" s="478">
        <f t="shared" si="33"/>
        <v>0</v>
      </c>
    </row>
    <row r="128" spans="2:16" ht="12.5">
      <c r="B128" s="160" t="str">
        <f t="shared" si="34"/>
        <v/>
      </c>
      <c r="C128" s="472">
        <f>IF(D93="","-",+C127+1)</f>
        <v>2038</v>
      </c>
      <c r="D128" s="346">
        <f>IF(F127+SUM(E$99:E127)=D$92,F127,D$92-SUM(E$99:E127))</f>
        <v>309544</v>
      </c>
      <c r="E128" s="486">
        <f>IF(+J96&lt;F127,J96,D128)</f>
        <v>21801</v>
      </c>
      <c r="F128" s="485">
        <f t="shared" si="44"/>
        <v>287743</v>
      </c>
      <c r="G128" s="485">
        <f t="shared" si="45"/>
        <v>298643.5</v>
      </c>
      <c r="H128" s="488">
        <f t="shared" si="46"/>
        <v>55784.477985691963</v>
      </c>
      <c r="I128" s="542">
        <f t="shared" si="47"/>
        <v>55784.477985691963</v>
      </c>
      <c r="J128" s="478">
        <f t="shared" si="28"/>
        <v>0</v>
      </c>
      <c r="K128" s="478"/>
      <c r="L128" s="487"/>
      <c r="M128" s="478">
        <f t="shared" si="30"/>
        <v>0</v>
      </c>
      <c r="N128" s="487"/>
      <c r="O128" s="478">
        <f t="shared" si="32"/>
        <v>0</v>
      </c>
      <c r="P128" s="478">
        <f t="shared" si="33"/>
        <v>0</v>
      </c>
    </row>
    <row r="129" spans="2:16" ht="12.5">
      <c r="B129" s="160" t="str">
        <f t="shared" si="34"/>
        <v/>
      </c>
      <c r="C129" s="472">
        <f>IF(D93="","-",+C128+1)</f>
        <v>2039</v>
      </c>
      <c r="D129" s="346">
        <f>IF(F128+SUM(E$99:E128)=D$92,F128,D$92-SUM(E$99:E128))</f>
        <v>287743</v>
      </c>
      <c r="E129" s="486">
        <f>IF(+J96&lt;F128,J96,D129)</f>
        <v>21801</v>
      </c>
      <c r="F129" s="485">
        <f t="shared" si="44"/>
        <v>265942</v>
      </c>
      <c r="G129" s="485">
        <f t="shared" si="45"/>
        <v>276842.5</v>
      </c>
      <c r="H129" s="488">
        <f t="shared" si="46"/>
        <v>53303.681304813021</v>
      </c>
      <c r="I129" s="542">
        <f t="shared" si="47"/>
        <v>53303.681304813021</v>
      </c>
      <c r="J129" s="478">
        <f t="shared" si="28"/>
        <v>0</v>
      </c>
      <c r="K129" s="478"/>
      <c r="L129" s="487"/>
      <c r="M129" s="478">
        <f t="shared" si="30"/>
        <v>0</v>
      </c>
      <c r="N129" s="487"/>
      <c r="O129" s="478">
        <f t="shared" si="32"/>
        <v>0</v>
      </c>
      <c r="P129" s="478">
        <f t="shared" si="33"/>
        <v>0</v>
      </c>
    </row>
    <row r="130" spans="2:16" ht="12.5">
      <c r="B130" s="160" t="str">
        <f t="shared" si="34"/>
        <v/>
      </c>
      <c r="C130" s="472">
        <f>IF(D93="","-",+C129+1)</f>
        <v>2040</v>
      </c>
      <c r="D130" s="346">
        <f>IF(F129+SUM(E$99:E129)=D$92,F129,D$92-SUM(E$99:E129))</f>
        <v>265942</v>
      </c>
      <c r="E130" s="486">
        <f>IF(+J96&lt;F129,J96,D130)</f>
        <v>21801</v>
      </c>
      <c r="F130" s="485">
        <f t="shared" si="44"/>
        <v>244141</v>
      </c>
      <c r="G130" s="485">
        <f t="shared" si="45"/>
        <v>255041.5</v>
      </c>
      <c r="H130" s="488">
        <f t="shared" si="46"/>
        <v>50822.884623934078</v>
      </c>
      <c r="I130" s="542">
        <f t="shared" si="47"/>
        <v>50822.884623934078</v>
      </c>
      <c r="J130" s="478">
        <f t="shared" si="28"/>
        <v>0</v>
      </c>
      <c r="K130" s="478"/>
      <c r="L130" s="487"/>
      <c r="M130" s="478">
        <f t="shared" si="30"/>
        <v>0</v>
      </c>
      <c r="N130" s="487"/>
      <c r="O130" s="478">
        <f t="shared" si="32"/>
        <v>0</v>
      </c>
      <c r="P130" s="478">
        <f t="shared" si="33"/>
        <v>0</v>
      </c>
    </row>
    <row r="131" spans="2:16" ht="12.5">
      <c r="B131" s="160" t="str">
        <f t="shared" si="34"/>
        <v/>
      </c>
      <c r="C131" s="472">
        <f>IF(D93="","-",+C130+1)</f>
        <v>2041</v>
      </c>
      <c r="D131" s="346">
        <f>IF(F130+SUM(E$99:E130)=D$92,F130,D$92-SUM(E$99:E130))</f>
        <v>244141</v>
      </c>
      <c r="E131" s="486">
        <f>IF(+J96&lt;F130,J96,D131)</f>
        <v>21801</v>
      </c>
      <c r="F131" s="485">
        <f t="shared" ref="F131:F154" si="48">+D131-E131</f>
        <v>222340</v>
      </c>
      <c r="G131" s="485">
        <f t="shared" ref="G131:G154" si="49">+(F131+D131)/2</f>
        <v>233240.5</v>
      </c>
      <c r="H131" s="488">
        <f t="shared" si="46"/>
        <v>48342.087943055136</v>
      </c>
      <c r="I131" s="542">
        <f t="shared" si="47"/>
        <v>48342.087943055136</v>
      </c>
      <c r="J131" s="478">
        <f t="shared" ref="J131:J154" si="50">+I131-H131</f>
        <v>0</v>
      </c>
      <c r="K131" s="478"/>
      <c r="L131" s="487"/>
      <c r="M131" s="478">
        <f t="shared" ref="M131:M154" si="51">IF(L131&lt;&gt;0,+H131-L131,0)</f>
        <v>0</v>
      </c>
      <c r="N131" s="487"/>
      <c r="O131" s="478">
        <f t="shared" ref="O131:O154" si="52">IF(N131&lt;&gt;0,+I131-N131,0)</f>
        <v>0</v>
      </c>
      <c r="P131" s="478">
        <f t="shared" ref="P131:P154" si="53">+O131-M131</f>
        <v>0</v>
      </c>
    </row>
    <row r="132" spans="2:16" ht="12.5">
      <c r="B132" s="160" t="str">
        <f t="shared" si="34"/>
        <v/>
      </c>
      <c r="C132" s="472">
        <f>IF(D93="","-",+C131+1)</f>
        <v>2042</v>
      </c>
      <c r="D132" s="346">
        <f>IF(F131+SUM(E$99:E131)=D$92,F131,D$92-SUM(E$99:E131))</f>
        <v>222340</v>
      </c>
      <c r="E132" s="486">
        <f>IF(+J96&lt;F131,J96,D132)</f>
        <v>21801</v>
      </c>
      <c r="F132" s="485">
        <f t="shared" si="48"/>
        <v>200539</v>
      </c>
      <c r="G132" s="485">
        <f t="shared" si="49"/>
        <v>211439.5</v>
      </c>
      <c r="H132" s="488">
        <f t="shared" ref="H132:H154" si="54">+J$94*G132+E132</f>
        <v>45861.291262176193</v>
      </c>
      <c r="I132" s="542">
        <f t="shared" ref="I132:I154" si="55">+J$95*G132+E132</f>
        <v>45861.291262176193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 ht="12.5">
      <c r="B133" s="160" t="str">
        <f t="shared" si="34"/>
        <v/>
      </c>
      <c r="C133" s="472">
        <f>IF(D93="","-",+C132+1)</f>
        <v>2043</v>
      </c>
      <c r="D133" s="346">
        <f>IF(F132+SUM(E$99:E132)=D$92,F132,D$92-SUM(E$99:E132))</f>
        <v>200539</v>
      </c>
      <c r="E133" s="486">
        <f>IF(+J96&lt;F132,J96,D133)</f>
        <v>21801</v>
      </c>
      <c r="F133" s="485">
        <f t="shared" si="48"/>
        <v>178738</v>
      </c>
      <c r="G133" s="485">
        <f t="shared" si="49"/>
        <v>189638.5</v>
      </c>
      <c r="H133" s="488">
        <f t="shared" si="54"/>
        <v>43380.494581297244</v>
      </c>
      <c r="I133" s="542">
        <f t="shared" si="55"/>
        <v>43380.494581297244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 ht="12.5">
      <c r="B134" s="160" t="str">
        <f t="shared" si="34"/>
        <v/>
      </c>
      <c r="C134" s="472">
        <f>IF(D93="","-",+C133+1)</f>
        <v>2044</v>
      </c>
      <c r="D134" s="346">
        <f>IF(F133+SUM(E$99:E133)=D$92,F133,D$92-SUM(E$99:E133))</f>
        <v>178738</v>
      </c>
      <c r="E134" s="486">
        <f>IF(+J96&lt;F133,J96,D134)</f>
        <v>21801</v>
      </c>
      <c r="F134" s="485">
        <f t="shared" si="48"/>
        <v>156937</v>
      </c>
      <c r="G134" s="485">
        <f t="shared" si="49"/>
        <v>167837.5</v>
      </c>
      <c r="H134" s="488">
        <f t="shared" si="54"/>
        <v>40899.697900418309</v>
      </c>
      <c r="I134" s="542">
        <f t="shared" si="55"/>
        <v>40899.697900418309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 ht="12.5">
      <c r="B135" s="160" t="str">
        <f t="shared" si="34"/>
        <v/>
      </c>
      <c r="C135" s="472">
        <f>IF(D93="","-",+C134+1)</f>
        <v>2045</v>
      </c>
      <c r="D135" s="346">
        <f>IF(F134+SUM(E$99:E134)=D$92,F134,D$92-SUM(E$99:E134))</f>
        <v>156937</v>
      </c>
      <c r="E135" s="486">
        <f>IF(+J96&lt;F134,J96,D135)</f>
        <v>21801</v>
      </c>
      <c r="F135" s="485">
        <f t="shared" si="48"/>
        <v>135136</v>
      </c>
      <c r="G135" s="485">
        <f t="shared" si="49"/>
        <v>146036.5</v>
      </c>
      <c r="H135" s="488">
        <f t="shared" si="54"/>
        <v>38418.901219539359</v>
      </c>
      <c r="I135" s="542">
        <f t="shared" si="55"/>
        <v>38418.901219539359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 ht="12.5">
      <c r="B136" s="160" t="str">
        <f t="shared" si="34"/>
        <v/>
      </c>
      <c r="C136" s="472">
        <f>IF(D93="","-",+C135+1)</f>
        <v>2046</v>
      </c>
      <c r="D136" s="346">
        <f>IF(F135+SUM(E$99:E135)=D$92,F135,D$92-SUM(E$99:E135))</f>
        <v>135136</v>
      </c>
      <c r="E136" s="486">
        <f>IF(+J96&lt;F135,J96,D136)</f>
        <v>21801</v>
      </c>
      <c r="F136" s="485">
        <f t="shared" si="48"/>
        <v>113335</v>
      </c>
      <c r="G136" s="485">
        <f t="shared" si="49"/>
        <v>124235.5</v>
      </c>
      <c r="H136" s="488">
        <f t="shared" si="54"/>
        <v>35938.104538660424</v>
      </c>
      <c r="I136" s="542">
        <f t="shared" si="55"/>
        <v>35938.104538660424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 ht="12.5">
      <c r="B137" s="160" t="str">
        <f t="shared" si="34"/>
        <v/>
      </c>
      <c r="C137" s="472">
        <f>IF(D93="","-",+C136+1)</f>
        <v>2047</v>
      </c>
      <c r="D137" s="346">
        <f>IF(F136+SUM(E$99:E136)=D$92,F136,D$92-SUM(E$99:E136))</f>
        <v>113335</v>
      </c>
      <c r="E137" s="486">
        <f>IF(+J96&lt;F136,J96,D137)</f>
        <v>21801</v>
      </c>
      <c r="F137" s="485">
        <f t="shared" si="48"/>
        <v>91534</v>
      </c>
      <c r="G137" s="485">
        <f t="shared" si="49"/>
        <v>102434.5</v>
      </c>
      <c r="H137" s="488">
        <f t="shared" si="54"/>
        <v>33457.307857781481</v>
      </c>
      <c r="I137" s="542">
        <f t="shared" si="55"/>
        <v>33457.307857781481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 ht="12.5">
      <c r="B138" s="160" t="str">
        <f t="shared" si="34"/>
        <v/>
      </c>
      <c r="C138" s="472">
        <f>IF(D93="","-",+C137+1)</f>
        <v>2048</v>
      </c>
      <c r="D138" s="346">
        <f>IF(F137+SUM(E$99:E137)=D$92,F137,D$92-SUM(E$99:E137))</f>
        <v>91534</v>
      </c>
      <c r="E138" s="486">
        <f>IF(+J96&lt;F137,J96,D138)</f>
        <v>21801</v>
      </c>
      <c r="F138" s="485">
        <f t="shared" si="48"/>
        <v>69733</v>
      </c>
      <c r="G138" s="485">
        <f t="shared" si="49"/>
        <v>80633.5</v>
      </c>
      <c r="H138" s="488">
        <f t="shared" si="54"/>
        <v>30976.511176902539</v>
      </c>
      <c r="I138" s="542">
        <f t="shared" si="55"/>
        <v>30976.511176902539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 ht="12.5">
      <c r="B139" s="160" t="str">
        <f t="shared" si="34"/>
        <v/>
      </c>
      <c r="C139" s="472">
        <f>IF(D93="","-",+C138+1)</f>
        <v>2049</v>
      </c>
      <c r="D139" s="346">
        <f>IF(F138+SUM(E$99:E138)=D$92,F138,D$92-SUM(E$99:E138))</f>
        <v>69733</v>
      </c>
      <c r="E139" s="486">
        <f>IF(+J96&lt;F138,J96,D139)</f>
        <v>21801</v>
      </c>
      <c r="F139" s="485">
        <f t="shared" si="48"/>
        <v>47932</v>
      </c>
      <c r="G139" s="485">
        <f t="shared" si="49"/>
        <v>58832.5</v>
      </c>
      <c r="H139" s="488">
        <f t="shared" si="54"/>
        <v>28495.714496023596</v>
      </c>
      <c r="I139" s="542">
        <f t="shared" si="55"/>
        <v>28495.714496023596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 ht="12.5">
      <c r="B140" s="160" t="str">
        <f t="shared" si="34"/>
        <v/>
      </c>
      <c r="C140" s="472">
        <f>IF(D93="","-",+C139+1)</f>
        <v>2050</v>
      </c>
      <c r="D140" s="346">
        <f>IF(F139+SUM(E$99:E139)=D$92,F139,D$92-SUM(E$99:E139))</f>
        <v>47932</v>
      </c>
      <c r="E140" s="486">
        <f>IF(+J96&lt;F139,J96,D140)</f>
        <v>21801</v>
      </c>
      <c r="F140" s="485">
        <f t="shared" si="48"/>
        <v>26131</v>
      </c>
      <c r="G140" s="485">
        <f t="shared" si="49"/>
        <v>37031.5</v>
      </c>
      <c r="H140" s="488">
        <f t="shared" si="54"/>
        <v>26014.917815144654</v>
      </c>
      <c r="I140" s="542">
        <f t="shared" si="55"/>
        <v>26014.917815144654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 ht="12.5">
      <c r="B141" s="160" t="str">
        <f t="shared" si="34"/>
        <v/>
      </c>
      <c r="C141" s="472">
        <f>IF(D93="","-",+C140+1)</f>
        <v>2051</v>
      </c>
      <c r="D141" s="346">
        <f>IF(F140+SUM(E$99:E140)=D$92,F140,D$92-SUM(E$99:E140))</f>
        <v>26131</v>
      </c>
      <c r="E141" s="486">
        <f>IF(+J96&lt;F140,J96,D141)</f>
        <v>21801</v>
      </c>
      <c r="F141" s="485">
        <f t="shared" si="48"/>
        <v>4330</v>
      </c>
      <c r="G141" s="485">
        <f t="shared" si="49"/>
        <v>15230.5</v>
      </c>
      <c r="H141" s="488">
        <f t="shared" si="54"/>
        <v>23534.121134265708</v>
      </c>
      <c r="I141" s="542">
        <f t="shared" si="55"/>
        <v>23534.121134265708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 ht="12.5">
      <c r="B142" s="160" t="str">
        <f t="shared" si="34"/>
        <v/>
      </c>
      <c r="C142" s="472">
        <f>IF(D93="","-",+C141+1)</f>
        <v>2052</v>
      </c>
      <c r="D142" s="346">
        <f>IF(F141+SUM(E$99:E141)=D$92,F141,D$92-SUM(E$99:E141))</f>
        <v>4330</v>
      </c>
      <c r="E142" s="486">
        <f>IF(+J96&lt;F141,J96,D142)</f>
        <v>4330</v>
      </c>
      <c r="F142" s="485">
        <f t="shared" si="48"/>
        <v>0</v>
      </c>
      <c r="G142" s="485">
        <f t="shared" si="49"/>
        <v>2165</v>
      </c>
      <c r="H142" s="488">
        <f t="shared" si="54"/>
        <v>4576.3613969131193</v>
      </c>
      <c r="I142" s="542">
        <f t="shared" si="55"/>
        <v>4576.3613969131193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 ht="12.5">
      <c r="B143" s="160" t="str">
        <f t="shared" si="34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8"/>
        <v>0</v>
      </c>
      <c r="G143" s="485">
        <f t="shared" si="49"/>
        <v>0</v>
      </c>
      <c r="H143" s="488">
        <f t="shared" si="54"/>
        <v>0</v>
      </c>
      <c r="I143" s="542">
        <f t="shared" si="55"/>
        <v>0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 ht="12.5">
      <c r="B144" s="160" t="str">
        <f t="shared" si="34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8"/>
        <v>0</v>
      </c>
      <c r="G144" s="485">
        <f t="shared" si="49"/>
        <v>0</v>
      </c>
      <c r="H144" s="488">
        <f t="shared" si="54"/>
        <v>0</v>
      </c>
      <c r="I144" s="542">
        <f t="shared" si="55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 ht="12.5">
      <c r="B145" s="160" t="str">
        <f t="shared" si="34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8"/>
        <v>0</v>
      </c>
      <c r="G145" s="485">
        <f t="shared" si="49"/>
        <v>0</v>
      </c>
      <c r="H145" s="488">
        <f t="shared" si="54"/>
        <v>0</v>
      </c>
      <c r="I145" s="542">
        <f t="shared" si="55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 ht="12.5">
      <c r="B146" s="160" t="str">
        <f t="shared" si="34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8"/>
        <v>0</v>
      </c>
      <c r="G146" s="485">
        <f t="shared" si="49"/>
        <v>0</v>
      </c>
      <c r="H146" s="488">
        <f t="shared" si="54"/>
        <v>0</v>
      </c>
      <c r="I146" s="542">
        <f t="shared" si="55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 ht="12.5">
      <c r="B147" s="160" t="str">
        <f t="shared" si="34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8"/>
        <v>0</v>
      </c>
      <c r="G147" s="485">
        <f t="shared" si="49"/>
        <v>0</v>
      </c>
      <c r="H147" s="488">
        <f t="shared" si="54"/>
        <v>0</v>
      </c>
      <c r="I147" s="542">
        <f t="shared" si="55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 ht="12.5">
      <c r="B148" s="160" t="str">
        <f t="shared" si="34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8"/>
        <v>0</v>
      </c>
      <c r="G148" s="485">
        <f t="shared" si="49"/>
        <v>0</v>
      </c>
      <c r="H148" s="488">
        <f t="shared" si="54"/>
        <v>0</v>
      </c>
      <c r="I148" s="542">
        <f t="shared" si="55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 ht="12.5">
      <c r="B149" s="160" t="str">
        <f t="shared" si="34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8"/>
        <v>0</v>
      </c>
      <c r="G149" s="485">
        <f t="shared" si="49"/>
        <v>0</v>
      </c>
      <c r="H149" s="488">
        <f t="shared" si="54"/>
        <v>0</v>
      </c>
      <c r="I149" s="542">
        <f t="shared" si="55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 ht="12.5">
      <c r="B150" s="160" t="str">
        <f t="shared" si="34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8"/>
        <v>0</v>
      </c>
      <c r="G150" s="485">
        <f t="shared" si="49"/>
        <v>0</v>
      </c>
      <c r="H150" s="488">
        <f t="shared" si="54"/>
        <v>0</v>
      </c>
      <c r="I150" s="542">
        <f t="shared" si="55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 ht="12.5">
      <c r="B151" s="160" t="str">
        <f t="shared" si="34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8"/>
        <v>0</v>
      </c>
      <c r="G151" s="485">
        <f t="shared" si="49"/>
        <v>0</v>
      </c>
      <c r="H151" s="488">
        <f t="shared" si="54"/>
        <v>0</v>
      </c>
      <c r="I151" s="542">
        <f t="shared" si="55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 ht="12.5">
      <c r="B152" s="160" t="str">
        <f t="shared" si="34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8"/>
        <v>0</v>
      </c>
      <c r="G152" s="485">
        <f t="shared" si="49"/>
        <v>0</v>
      </c>
      <c r="H152" s="488">
        <f t="shared" si="54"/>
        <v>0</v>
      </c>
      <c r="I152" s="542">
        <f t="shared" si="55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 ht="12.5">
      <c r="B153" s="160" t="str">
        <f t="shared" si="34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8"/>
        <v>0</v>
      </c>
      <c r="G153" s="485">
        <f t="shared" si="49"/>
        <v>0</v>
      </c>
      <c r="H153" s="488">
        <f t="shared" si="54"/>
        <v>0</v>
      </c>
      <c r="I153" s="542">
        <f t="shared" si="55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" thickBot="1">
      <c r="B154" s="160" t="str">
        <f t="shared" si="34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8"/>
        <v>0</v>
      </c>
      <c r="G154" s="490">
        <f t="shared" si="49"/>
        <v>0</v>
      </c>
      <c r="H154" s="492">
        <f t="shared" si="54"/>
        <v>0</v>
      </c>
      <c r="I154" s="545">
        <f t="shared" si="55"/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 ht="12.5">
      <c r="C155" s="346" t="s">
        <v>77</v>
      </c>
      <c r="D155" s="347"/>
      <c r="E155" s="347">
        <f>SUM(E99:E154)</f>
        <v>893858</v>
      </c>
      <c r="F155" s="347"/>
      <c r="G155" s="347"/>
      <c r="H155" s="347">
        <f>SUM(H99:H154)</f>
        <v>3312488.68949195</v>
      </c>
      <c r="I155" s="347">
        <f>SUM(I99:I154)</f>
        <v>3312488.68949195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48" t="s">
        <v>145</v>
      </c>
    </row>
  </sheetData>
  <phoneticPr fontId="0" type="noConversion"/>
  <conditionalFormatting sqref="C17:C72">
    <cfRule type="cellIs" dxfId="66" priority="1" stopIfTrue="1" operator="equal">
      <formula>$I$10</formula>
    </cfRule>
  </conditionalFormatting>
  <conditionalFormatting sqref="C99:C154">
    <cfRule type="cellIs" dxfId="6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2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503612.14466528577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503612.14466528577</v>
      </c>
      <c r="O6" s="232"/>
      <c r="P6" s="232"/>
    </row>
    <row r="7" spans="1:16" ht="13.5" thickBot="1">
      <c r="C7" s="431" t="s">
        <v>46</v>
      </c>
      <c r="D7" s="432" t="s">
        <v>210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80</v>
      </c>
      <c r="E9" s="577" t="s">
        <v>353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4688896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120228.10256410256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6704177</v>
      </c>
      <c r="E17" s="474">
        <v>73788</v>
      </c>
      <c r="F17" s="473">
        <v>6630389</v>
      </c>
      <c r="G17" s="474">
        <v>750999</v>
      </c>
      <c r="H17" s="474">
        <v>750999</v>
      </c>
      <c r="I17" s="475">
        <f t="shared" ref="I17:I48" si="0">H17-G17</f>
        <v>0</v>
      </c>
      <c r="J17" s="475"/>
      <c r="K17" s="476">
        <v>750999</v>
      </c>
      <c r="L17" s="477">
        <f t="shared" ref="L17:L48" si="1">IF(K17&lt;&gt;0,+G17-K17,0)</f>
        <v>0</v>
      </c>
      <c r="M17" s="476">
        <v>750999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4651603</v>
      </c>
      <c r="E18" s="480">
        <v>84382</v>
      </c>
      <c r="F18" s="479">
        <v>4567221</v>
      </c>
      <c r="G18" s="480">
        <v>743416</v>
      </c>
      <c r="H18" s="481">
        <v>743416</v>
      </c>
      <c r="I18" s="475">
        <f t="shared" si="0"/>
        <v>0</v>
      </c>
      <c r="J18" s="475"/>
      <c r="K18" s="476">
        <f t="shared" ref="K18:K23" si="4">G18</f>
        <v>743416</v>
      </c>
      <c r="L18" s="550">
        <f t="shared" si="1"/>
        <v>0</v>
      </c>
      <c r="M18" s="476">
        <f t="shared" ref="M18:M23" si="5">H18</f>
        <v>743416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2011</v>
      </c>
      <c r="D19" s="479">
        <v>4530726</v>
      </c>
      <c r="E19" s="480">
        <v>91939.137254901958</v>
      </c>
      <c r="F19" s="479">
        <v>4438786.8627450978</v>
      </c>
      <c r="G19" s="480">
        <v>786801.66702531651</v>
      </c>
      <c r="H19" s="481">
        <v>786801.66702531651</v>
      </c>
      <c r="I19" s="475">
        <f t="shared" si="0"/>
        <v>0</v>
      </c>
      <c r="J19" s="475"/>
      <c r="K19" s="476">
        <f t="shared" si="4"/>
        <v>786801.66702531651</v>
      </c>
      <c r="L19" s="550">
        <f t="shared" si="1"/>
        <v>0</v>
      </c>
      <c r="M19" s="476">
        <f t="shared" si="5"/>
        <v>786801.66702531651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2012</v>
      </c>
      <c r="D20" s="479">
        <v>4438786.8627450978</v>
      </c>
      <c r="E20" s="480">
        <v>90171.076923076922</v>
      </c>
      <c r="F20" s="479">
        <v>4348615.7858220208</v>
      </c>
      <c r="G20" s="480">
        <v>695527.67751323315</v>
      </c>
      <c r="H20" s="481">
        <v>695527.67751323315</v>
      </c>
      <c r="I20" s="475">
        <f t="shared" si="0"/>
        <v>0</v>
      </c>
      <c r="J20" s="475"/>
      <c r="K20" s="476">
        <f t="shared" si="4"/>
        <v>695527.67751323315</v>
      </c>
      <c r="L20" s="550">
        <f t="shared" si="1"/>
        <v>0</v>
      </c>
      <c r="M20" s="476">
        <f t="shared" si="5"/>
        <v>695527.67751323315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2013</v>
      </c>
      <c r="D21" s="479">
        <v>4348615.7858220208</v>
      </c>
      <c r="E21" s="480">
        <v>90171.076923076922</v>
      </c>
      <c r="F21" s="479">
        <v>4258444.7088989438</v>
      </c>
      <c r="G21" s="480">
        <v>698305.7699783385</v>
      </c>
      <c r="H21" s="481">
        <v>698305.7699783385</v>
      </c>
      <c r="I21" s="475">
        <v>0</v>
      </c>
      <c r="J21" s="475"/>
      <c r="K21" s="476">
        <f t="shared" si="4"/>
        <v>698305.7699783385</v>
      </c>
      <c r="L21" s="550">
        <f t="shared" ref="L21:L26" si="7">IF(K21&lt;&gt;0,+G21-K21,0)</f>
        <v>0</v>
      </c>
      <c r="M21" s="476">
        <f t="shared" si="5"/>
        <v>698305.7699783385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4258444.7088989438</v>
      </c>
      <c r="E22" s="480">
        <v>90171.076923076922</v>
      </c>
      <c r="F22" s="479">
        <v>4168273.6319758669</v>
      </c>
      <c r="G22" s="480">
        <v>663970.48849892756</v>
      </c>
      <c r="H22" s="481">
        <v>663970.48849892756</v>
      </c>
      <c r="I22" s="475">
        <v>0</v>
      </c>
      <c r="J22" s="475"/>
      <c r="K22" s="476">
        <f t="shared" si="4"/>
        <v>663970.48849892756</v>
      </c>
      <c r="L22" s="550">
        <f t="shared" si="7"/>
        <v>0</v>
      </c>
      <c r="M22" s="476">
        <f t="shared" si="5"/>
        <v>663970.48849892756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/>
      </c>
      <c r="C23" s="472">
        <f>IF(D11="","-",+C22+1)</f>
        <v>2015</v>
      </c>
      <c r="D23" s="479">
        <v>4168273.6319758669</v>
      </c>
      <c r="E23" s="480">
        <v>90171.076923076922</v>
      </c>
      <c r="F23" s="479">
        <v>4078102.5550527899</v>
      </c>
      <c r="G23" s="480">
        <v>652425.83265151177</v>
      </c>
      <c r="H23" s="481">
        <v>652425.83265151177</v>
      </c>
      <c r="I23" s="475">
        <v>0</v>
      </c>
      <c r="J23" s="475"/>
      <c r="K23" s="476">
        <f t="shared" si="4"/>
        <v>652425.83265151177</v>
      </c>
      <c r="L23" s="550">
        <f t="shared" si="7"/>
        <v>0</v>
      </c>
      <c r="M23" s="476">
        <f t="shared" si="5"/>
        <v>652425.83265151177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4078102.5550527899</v>
      </c>
      <c r="E24" s="480">
        <v>90171.076923076922</v>
      </c>
      <c r="F24" s="479">
        <v>3987931.4781297129</v>
      </c>
      <c r="G24" s="480">
        <v>613226.71011811122</v>
      </c>
      <c r="H24" s="481">
        <v>613226.71011811122</v>
      </c>
      <c r="I24" s="475">
        <f t="shared" si="0"/>
        <v>0</v>
      </c>
      <c r="J24" s="475"/>
      <c r="K24" s="476">
        <f t="shared" ref="K24:K29" si="10">G24</f>
        <v>613226.71011811122</v>
      </c>
      <c r="L24" s="550">
        <f t="shared" si="7"/>
        <v>0</v>
      </c>
      <c r="M24" s="476">
        <f t="shared" ref="M24:M29" si="11">H24</f>
        <v>613226.71011811122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3987931.4781297129</v>
      </c>
      <c r="E25" s="480">
        <v>101932.52173913043</v>
      </c>
      <c r="F25" s="479">
        <v>3885998.9563905825</v>
      </c>
      <c r="G25" s="480">
        <v>596467.29312714399</v>
      </c>
      <c r="H25" s="481">
        <v>596467.29312714399</v>
      </c>
      <c r="I25" s="475">
        <f t="shared" si="0"/>
        <v>0</v>
      </c>
      <c r="J25" s="551"/>
      <c r="K25" s="476">
        <f t="shared" si="10"/>
        <v>596467.29312714399</v>
      </c>
      <c r="L25" s="550">
        <f t="shared" si="7"/>
        <v>0</v>
      </c>
      <c r="M25" s="476">
        <f t="shared" si="11"/>
        <v>596467.29312714399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3885998.9563905825</v>
      </c>
      <c r="E26" s="480">
        <v>104197.68888888889</v>
      </c>
      <c r="F26" s="479">
        <v>3781801.2675016937</v>
      </c>
      <c r="G26" s="480">
        <v>563341.50507496181</v>
      </c>
      <c r="H26" s="481">
        <v>563341.50507496181</v>
      </c>
      <c r="I26" s="475">
        <f t="shared" si="0"/>
        <v>0</v>
      </c>
      <c r="J26" s="551"/>
      <c r="K26" s="476">
        <f t="shared" si="10"/>
        <v>563341.50507496181</v>
      </c>
      <c r="L26" s="550">
        <f t="shared" si="7"/>
        <v>0</v>
      </c>
      <c r="M26" s="476">
        <f t="shared" si="11"/>
        <v>563341.50507496181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3781801.2675016937</v>
      </c>
      <c r="E27" s="480">
        <v>117222.39999999999</v>
      </c>
      <c r="F27" s="479">
        <v>3664578.8675016938</v>
      </c>
      <c r="G27" s="480">
        <v>532941.26061774243</v>
      </c>
      <c r="H27" s="481">
        <v>532941.26061774243</v>
      </c>
      <c r="I27" s="475">
        <f t="shared" si="0"/>
        <v>0</v>
      </c>
      <c r="J27" s="552"/>
      <c r="K27" s="476">
        <f t="shared" si="10"/>
        <v>532941.26061774243</v>
      </c>
      <c r="L27" s="550">
        <f t="shared" ref="L27" si="12">IF(K27&lt;&gt;0,+G27-K27,0)</f>
        <v>0</v>
      </c>
      <c r="M27" s="476">
        <f t="shared" si="11"/>
        <v>532941.26061774243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3677603.5786128049</v>
      </c>
      <c r="E28" s="480">
        <v>111640.38095238095</v>
      </c>
      <c r="F28" s="479">
        <v>3565963.1976604238</v>
      </c>
      <c r="G28" s="480">
        <v>502810.28780425031</v>
      </c>
      <c r="H28" s="481">
        <v>502810.28780425031</v>
      </c>
      <c r="I28" s="475">
        <f t="shared" si="0"/>
        <v>0</v>
      </c>
      <c r="J28" s="475"/>
      <c r="K28" s="476">
        <f t="shared" si="10"/>
        <v>502810.28780425031</v>
      </c>
      <c r="L28" s="550">
        <f t="shared" ref="L28" si="15">IF(K28&lt;&gt;0,+G28-K28,0)</f>
        <v>0</v>
      </c>
      <c r="M28" s="476">
        <f t="shared" si="11"/>
        <v>502810.28780425031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79">
        <v>3552938.4865493132</v>
      </c>
      <c r="E29" s="480">
        <v>109044.09302325582</v>
      </c>
      <c r="F29" s="479">
        <v>3443894.3935260572</v>
      </c>
      <c r="G29" s="480">
        <v>480370.47549623175</v>
      </c>
      <c r="H29" s="481">
        <v>480370.47549623175</v>
      </c>
      <c r="I29" s="475">
        <f t="shared" si="0"/>
        <v>0</v>
      </c>
      <c r="J29" s="475"/>
      <c r="K29" s="476">
        <f t="shared" si="10"/>
        <v>480370.47549623175</v>
      </c>
      <c r="L29" s="550">
        <f t="shared" ref="L29" si="16">IF(K29&lt;&gt;0,+G29-K29,0)</f>
        <v>0</v>
      </c>
      <c r="M29" s="476">
        <f t="shared" si="11"/>
        <v>480370.47549623175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79">
        <v>3443894.3935260572</v>
      </c>
      <c r="E30" s="480">
        <v>111640.38095238095</v>
      </c>
      <c r="F30" s="479">
        <v>3332254.0125736762</v>
      </c>
      <c r="G30" s="480">
        <v>470894.83739416272</v>
      </c>
      <c r="H30" s="481">
        <v>470894.83739416272</v>
      </c>
      <c r="I30" s="475">
        <f t="shared" si="0"/>
        <v>0</v>
      </c>
      <c r="J30" s="475"/>
      <c r="K30" s="476">
        <f t="shared" ref="K30" si="17">G30</f>
        <v>470894.83739416272</v>
      </c>
      <c r="L30" s="550">
        <f t="shared" ref="L30" si="18">IF(K30&lt;&gt;0,+G30-K30,0)</f>
        <v>0</v>
      </c>
      <c r="M30" s="476">
        <f t="shared" ref="M30" si="19">H30</f>
        <v>470894.83739416272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3332254.0125736762</v>
      </c>
      <c r="E31" s="484">
        <f>IF(+I14&lt;F30,I14,D31)</f>
        <v>120228.10256410256</v>
      </c>
      <c r="F31" s="485">
        <f t="shared" ref="F31:F48" si="20">+D31-E31</f>
        <v>3212025.9100095737</v>
      </c>
      <c r="G31" s="486">
        <f t="shared" ref="G31:G72" si="21">+I$12*F31+E31</f>
        <v>503612.14466528577</v>
      </c>
      <c r="H31" s="455">
        <f t="shared" ref="H31:H72" si="22">+I$13*F31+E31</f>
        <v>503612.14466528577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3212025.9100095737</v>
      </c>
      <c r="E32" s="484">
        <f>IF(+I14&lt;F31,I14,D32)</f>
        <v>120228.10256410256</v>
      </c>
      <c r="F32" s="485">
        <f t="shared" si="20"/>
        <v>3091797.8074454712</v>
      </c>
      <c r="G32" s="486">
        <f t="shared" si="21"/>
        <v>489261.84450377681</v>
      </c>
      <c r="H32" s="455">
        <f t="shared" si="22"/>
        <v>489261.84450377681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3091797.8074454712</v>
      </c>
      <c r="E33" s="484">
        <f>IF(+I14&lt;F32,I14,D33)</f>
        <v>120228.10256410256</v>
      </c>
      <c r="F33" s="485">
        <f t="shared" si="20"/>
        <v>2971569.7048813687</v>
      </c>
      <c r="G33" s="486">
        <f t="shared" si="21"/>
        <v>474911.54434226791</v>
      </c>
      <c r="H33" s="455">
        <f t="shared" si="22"/>
        <v>474911.54434226791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2971569.7048813687</v>
      </c>
      <c r="E34" s="484">
        <f>IF(+I14&lt;F33,I14,D34)</f>
        <v>120228.10256410256</v>
      </c>
      <c r="F34" s="485">
        <f t="shared" si="20"/>
        <v>2851341.6023172662</v>
      </c>
      <c r="G34" s="486">
        <f t="shared" si="21"/>
        <v>460561.24418075895</v>
      </c>
      <c r="H34" s="455">
        <f t="shared" si="22"/>
        <v>460561.24418075895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2851341.6023172662</v>
      </c>
      <c r="E35" s="484">
        <f>IF(+I14&lt;F34,I14,D35)</f>
        <v>120228.10256410256</v>
      </c>
      <c r="F35" s="485">
        <f t="shared" si="20"/>
        <v>2731113.4997531637</v>
      </c>
      <c r="G35" s="486">
        <f t="shared" si="21"/>
        <v>446210.94401925005</v>
      </c>
      <c r="H35" s="455">
        <f t="shared" si="22"/>
        <v>446210.94401925005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2731113.4997531637</v>
      </c>
      <c r="E36" s="484">
        <f>IF(+I14&lt;F35,I14,D36)</f>
        <v>120228.10256410256</v>
      </c>
      <c r="F36" s="485">
        <f t="shared" si="20"/>
        <v>2610885.3971890612</v>
      </c>
      <c r="G36" s="486">
        <f t="shared" si="21"/>
        <v>431860.64385774109</v>
      </c>
      <c r="H36" s="455">
        <f t="shared" si="22"/>
        <v>431860.64385774109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2610885.3971890612</v>
      </c>
      <c r="E37" s="484">
        <f>IF(+I14&lt;F36,I14,D37)</f>
        <v>120228.10256410256</v>
      </c>
      <c r="F37" s="485">
        <f t="shared" si="20"/>
        <v>2490657.2946249587</v>
      </c>
      <c r="G37" s="486">
        <f t="shared" si="21"/>
        <v>417510.34369623219</v>
      </c>
      <c r="H37" s="455">
        <f t="shared" si="22"/>
        <v>417510.34369623219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2490657.2946249587</v>
      </c>
      <c r="E38" s="484">
        <f>IF(+I14&lt;F37,I14,D38)</f>
        <v>120228.10256410256</v>
      </c>
      <c r="F38" s="485">
        <f t="shared" si="20"/>
        <v>2370429.1920608561</v>
      </c>
      <c r="G38" s="486">
        <f t="shared" si="21"/>
        <v>403160.04353472329</v>
      </c>
      <c r="H38" s="455">
        <f t="shared" si="22"/>
        <v>403160.04353472329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2370429.1920608561</v>
      </c>
      <c r="E39" s="484">
        <f>IF(+I14&lt;F38,I14,D39)</f>
        <v>120228.10256410256</v>
      </c>
      <c r="F39" s="485">
        <f t="shared" si="20"/>
        <v>2250201.0894967536</v>
      </c>
      <c r="G39" s="486">
        <f t="shared" si="21"/>
        <v>388809.74337321433</v>
      </c>
      <c r="H39" s="455">
        <f t="shared" si="22"/>
        <v>388809.74337321433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2250201.0894967536</v>
      </c>
      <c r="E40" s="484">
        <f>IF(+I14&lt;F39,I14,D40)</f>
        <v>120228.10256410256</v>
      </c>
      <c r="F40" s="485">
        <f t="shared" si="20"/>
        <v>2129972.9869326511</v>
      </c>
      <c r="G40" s="486">
        <f t="shared" si="21"/>
        <v>374459.44321170542</v>
      </c>
      <c r="H40" s="455">
        <f t="shared" si="22"/>
        <v>374459.44321170542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2129972.9869326511</v>
      </c>
      <c r="E41" s="484">
        <f>IF(+I14&lt;F40,I14,D41)</f>
        <v>120228.10256410256</v>
      </c>
      <c r="F41" s="485">
        <f t="shared" si="20"/>
        <v>2009744.8843685486</v>
      </c>
      <c r="G41" s="486">
        <f t="shared" si="21"/>
        <v>360109.14305019646</v>
      </c>
      <c r="H41" s="455">
        <f t="shared" si="22"/>
        <v>360109.14305019646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2009744.8843685486</v>
      </c>
      <c r="E42" s="484">
        <f>IF(+I14&lt;F41,I14,D42)</f>
        <v>120228.10256410256</v>
      </c>
      <c r="F42" s="485">
        <f t="shared" si="20"/>
        <v>1889516.7818044461</v>
      </c>
      <c r="G42" s="486">
        <f t="shared" si="21"/>
        <v>345758.84288868756</v>
      </c>
      <c r="H42" s="455">
        <f t="shared" si="22"/>
        <v>345758.84288868756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1889516.7818044461</v>
      </c>
      <c r="E43" s="484">
        <f>IF(+I14&lt;F42,I14,D43)</f>
        <v>120228.10256410256</v>
      </c>
      <c r="F43" s="485">
        <f t="shared" si="20"/>
        <v>1769288.6792403436</v>
      </c>
      <c r="G43" s="486">
        <f t="shared" si="21"/>
        <v>331408.54272717866</v>
      </c>
      <c r="H43" s="455">
        <f t="shared" si="22"/>
        <v>331408.54272717866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1769288.6792403436</v>
      </c>
      <c r="E44" s="484">
        <f>IF(+I14&lt;F43,I14,D44)</f>
        <v>120228.10256410256</v>
      </c>
      <c r="F44" s="485">
        <f t="shared" si="20"/>
        <v>1649060.5766762411</v>
      </c>
      <c r="G44" s="486">
        <f t="shared" si="21"/>
        <v>317058.2425656697</v>
      </c>
      <c r="H44" s="455">
        <f t="shared" si="22"/>
        <v>317058.2425656697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1649060.5766762411</v>
      </c>
      <c r="E45" s="484">
        <f>IF(+I14&lt;F44,I14,D45)</f>
        <v>120228.10256410256</v>
      </c>
      <c r="F45" s="485">
        <f t="shared" si="20"/>
        <v>1528832.4741121386</v>
      </c>
      <c r="G45" s="486">
        <f t="shared" si="21"/>
        <v>302707.94240416074</v>
      </c>
      <c r="H45" s="455">
        <f t="shared" si="22"/>
        <v>302707.94240416074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1528832.4741121386</v>
      </c>
      <c r="E46" s="484">
        <f>IF(+I14&lt;F45,I14,D46)</f>
        <v>120228.10256410256</v>
      </c>
      <c r="F46" s="485">
        <f t="shared" si="20"/>
        <v>1408604.3715480361</v>
      </c>
      <c r="G46" s="486">
        <f t="shared" si="21"/>
        <v>288357.64224265184</v>
      </c>
      <c r="H46" s="455">
        <f t="shared" si="22"/>
        <v>288357.64224265184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1408604.3715480361</v>
      </c>
      <c r="E47" s="484">
        <f>IF(+I14&lt;F46,I14,D47)</f>
        <v>120228.10256410256</v>
      </c>
      <c r="F47" s="485">
        <f t="shared" si="20"/>
        <v>1288376.2689839336</v>
      </c>
      <c r="G47" s="486">
        <f t="shared" si="21"/>
        <v>274007.34208114294</v>
      </c>
      <c r="H47" s="455">
        <f t="shared" si="22"/>
        <v>274007.34208114294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1288376.2689839336</v>
      </c>
      <c r="E48" s="484">
        <f>IF(+I14&lt;F47,I14,D48)</f>
        <v>120228.10256410256</v>
      </c>
      <c r="F48" s="485">
        <f t="shared" si="20"/>
        <v>1168148.1664198311</v>
      </c>
      <c r="G48" s="486">
        <f t="shared" si="21"/>
        <v>259657.04191963398</v>
      </c>
      <c r="H48" s="455">
        <f t="shared" si="22"/>
        <v>259657.04191963398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1168148.1664198311</v>
      </c>
      <c r="E49" s="484">
        <f>IF(+I14&lt;F48,I14,D49)</f>
        <v>120228.10256410256</v>
      </c>
      <c r="F49" s="485">
        <f t="shared" ref="F49:F72" si="23">+D49-E49</f>
        <v>1047920.0638557286</v>
      </c>
      <c r="G49" s="486">
        <f t="shared" si="21"/>
        <v>245306.74175812508</v>
      </c>
      <c r="H49" s="455">
        <f t="shared" si="22"/>
        <v>245306.74175812508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1047920.0638557286</v>
      </c>
      <c r="E50" s="484">
        <f>IF(+I14&lt;F49,I14,D50)</f>
        <v>120228.10256410256</v>
      </c>
      <c r="F50" s="485">
        <f t="shared" si="23"/>
        <v>927691.9612916261</v>
      </c>
      <c r="G50" s="486">
        <f t="shared" si="21"/>
        <v>230956.44159661612</v>
      </c>
      <c r="H50" s="455">
        <f t="shared" si="22"/>
        <v>230956.44159661612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927691.9612916261</v>
      </c>
      <c r="E51" s="484">
        <f>IF(+I14&lt;F50,I14,D51)</f>
        <v>120228.10256410256</v>
      </c>
      <c r="F51" s="485">
        <f t="shared" si="23"/>
        <v>807463.85872752359</v>
      </c>
      <c r="G51" s="486">
        <f t="shared" si="21"/>
        <v>216606.14143510722</v>
      </c>
      <c r="H51" s="455">
        <f t="shared" si="22"/>
        <v>216606.14143510722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807463.85872752359</v>
      </c>
      <c r="E52" s="484">
        <f>IF(+I14&lt;F51,I14,D52)</f>
        <v>120228.10256410256</v>
      </c>
      <c r="F52" s="485">
        <f t="shared" si="23"/>
        <v>687235.75616342109</v>
      </c>
      <c r="G52" s="486">
        <f t="shared" si="21"/>
        <v>202255.84127359826</v>
      </c>
      <c r="H52" s="455">
        <f t="shared" si="22"/>
        <v>202255.84127359826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687235.75616342109</v>
      </c>
      <c r="E53" s="484">
        <f>IF(+I14&lt;F52,I14,D53)</f>
        <v>120228.10256410256</v>
      </c>
      <c r="F53" s="485">
        <f t="shared" si="23"/>
        <v>567007.65359931858</v>
      </c>
      <c r="G53" s="486">
        <f t="shared" si="21"/>
        <v>187905.54111208936</v>
      </c>
      <c r="H53" s="455">
        <f t="shared" si="22"/>
        <v>187905.54111208936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567007.65359931858</v>
      </c>
      <c r="E54" s="484">
        <f>IF(+I14&lt;F53,I14,D54)</f>
        <v>120228.10256410256</v>
      </c>
      <c r="F54" s="485">
        <f t="shared" si="23"/>
        <v>446779.55103521602</v>
      </c>
      <c r="G54" s="486">
        <f t="shared" si="21"/>
        <v>173555.2409505804</v>
      </c>
      <c r="H54" s="455">
        <f t="shared" si="22"/>
        <v>173555.2409505804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446779.55103521602</v>
      </c>
      <c r="E55" s="484">
        <f>IF(+I14&lt;F54,I14,D55)</f>
        <v>120228.10256410256</v>
      </c>
      <c r="F55" s="485">
        <f t="shared" si="23"/>
        <v>326551.44847111346</v>
      </c>
      <c r="G55" s="486">
        <f t="shared" si="21"/>
        <v>159204.94078907149</v>
      </c>
      <c r="H55" s="455">
        <f t="shared" si="22"/>
        <v>159204.94078907149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326551.44847111346</v>
      </c>
      <c r="E56" s="484">
        <f>IF(+I14&lt;F55,I14,D56)</f>
        <v>120228.10256410256</v>
      </c>
      <c r="F56" s="485">
        <f t="shared" si="23"/>
        <v>206323.34590701089</v>
      </c>
      <c r="G56" s="486">
        <f t="shared" si="21"/>
        <v>144854.64062756253</v>
      </c>
      <c r="H56" s="455">
        <f t="shared" si="22"/>
        <v>144854.64062756253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206323.34590701089</v>
      </c>
      <c r="E57" s="484">
        <f>IF(+I14&lt;F56,I14,D57)</f>
        <v>120228.10256410256</v>
      </c>
      <c r="F57" s="485">
        <f t="shared" si="23"/>
        <v>86095.243342908332</v>
      </c>
      <c r="G57" s="486">
        <f t="shared" si="21"/>
        <v>130504.3404660536</v>
      </c>
      <c r="H57" s="455">
        <f t="shared" si="22"/>
        <v>130504.3404660536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86095.243342908332</v>
      </c>
      <c r="E58" s="484">
        <f>IF(+I14&lt;F57,I14,D58)</f>
        <v>86095.243342908332</v>
      </c>
      <c r="F58" s="485">
        <f t="shared" si="23"/>
        <v>0</v>
      </c>
      <c r="G58" s="486">
        <f t="shared" si="21"/>
        <v>86095.243342908332</v>
      </c>
      <c r="H58" s="455">
        <f t="shared" si="22"/>
        <v>86095.243342908332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0</v>
      </c>
      <c r="E59" s="484">
        <f>IF(+I14&lt;F58,I14,D59)</f>
        <v>0</v>
      </c>
      <c r="F59" s="485">
        <f t="shared" si="23"/>
        <v>0</v>
      </c>
      <c r="G59" s="486">
        <f t="shared" si="21"/>
        <v>0</v>
      </c>
      <c r="H59" s="455">
        <f t="shared" si="22"/>
        <v>0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2:16" ht="12.5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2:16" ht="12.5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2:16" ht="12.5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2:16" ht="12.5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2:16" ht="12.5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2:16" ht="12.5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2:16" ht="12.5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2:16" ht="12.5">
      <c r="C73" s="346" t="s">
        <v>77</v>
      </c>
      <c r="D73" s="347"/>
      <c r="E73" s="347">
        <f>SUM(E17:E72)</f>
        <v>4688896.0000000009</v>
      </c>
      <c r="F73" s="347"/>
      <c r="G73" s="347">
        <f>SUM(G17:G72)</f>
        <v>17398166.597915921</v>
      </c>
      <c r="H73" s="347">
        <f>SUM(H17:H72)</f>
        <v>17398166.597915921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2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480370.47549623175</v>
      </c>
      <c r="N87" s="508">
        <f>IF(J92&lt;D11,0,VLOOKUP(J92,C17:O72,11))</f>
        <v>480370.47549623175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513022.46807795716</v>
      </c>
      <c r="N88" s="512">
        <f>IF(J92&lt;D11,0,VLOOKUP(J92,C99:P154,7))</f>
        <v>513022.46807795716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Craig Jct. to Broken Bow Dam 138 Rebuild (7.7mi)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32651.992581725412</v>
      </c>
      <c r="N89" s="517">
        <f>+N88-N87</f>
        <v>32651.992581725412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TP2007059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4688896.139999995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114363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49223</v>
      </c>
      <c r="F99" s="479">
        <v>4676168</v>
      </c>
      <c r="G99" s="537">
        <v>2338084</v>
      </c>
      <c r="H99" s="538">
        <v>391070</v>
      </c>
      <c r="I99" s="539">
        <v>391070</v>
      </c>
      <c r="J99" s="478">
        <f t="shared" ref="J99:J130" si="28">+I99-H99</f>
        <v>0</v>
      </c>
      <c r="K99" s="478"/>
      <c r="L99" s="476">
        <f t="shared" ref="L99:L104" si="29">H99</f>
        <v>391070</v>
      </c>
      <c r="M99" s="477">
        <f t="shared" ref="M99:M130" si="30">IF(L99&lt;&gt;0,+H99-L99,0)</f>
        <v>0</v>
      </c>
      <c r="N99" s="476">
        <f t="shared" ref="N99:N104" si="31">I99</f>
        <v>391070</v>
      </c>
      <c r="O99" s="477">
        <f t="shared" ref="O99:O130" si="32">IF(N99&lt;&gt;0,+I99-N99,0)</f>
        <v>0</v>
      </c>
      <c r="P99" s="477">
        <f t="shared" ref="P99:P130" si="33">+O99-M99</f>
        <v>0</v>
      </c>
    </row>
    <row r="100" spans="1:16" ht="12.5">
      <c r="B100" s="160" t="str">
        <f>IF(D100=F99,"","IU")</f>
        <v>IU</v>
      </c>
      <c r="C100" s="472">
        <f>IF(D93="","-",+C99+1)</f>
        <v>2010</v>
      </c>
      <c r="D100" s="473">
        <v>4639673.1399999997</v>
      </c>
      <c r="E100" s="480">
        <v>91939</v>
      </c>
      <c r="F100" s="479">
        <v>4547734.1399999997</v>
      </c>
      <c r="G100" s="479">
        <v>4593703.6399999997</v>
      </c>
      <c r="H100" s="480">
        <v>830676.46951907186</v>
      </c>
      <c r="I100" s="481">
        <v>830676.46951907186</v>
      </c>
      <c r="J100" s="478">
        <f t="shared" si="28"/>
        <v>0</v>
      </c>
      <c r="K100" s="478"/>
      <c r="L100" s="540">
        <f t="shared" si="29"/>
        <v>830676.46951907186</v>
      </c>
      <c r="M100" s="541">
        <f t="shared" si="30"/>
        <v>0</v>
      </c>
      <c r="N100" s="540">
        <f t="shared" si="31"/>
        <v>830676.46951907186</v>
      </c>
      <c r="O100" s="478">
        <f t="shared" si="32"/>
        <v>0</v>
      </c>
      <c r="P100" s="478">
        <f t="shared" si="33"/>
        <v>0</v>
      </c>
    </row>
    <row r="101" spans="1:16" ht="12.5">
      <c r="B101" s="160" t="str">
        <f t="shared" ref="B101:B154" si="34">IF(D101=F100,"","IU")</f>
        <v/>
      </c>
      <c r="C101" s="482">
        <f>IF(D93="","-",+C100+1)</f>
        <v>2011</v>
      </c>
      <c r="D101" s="473">
        <v>4547734.1399999997</v>
      </c>
      <c r="E101" s="480">
        <v>90171</v>
      </c>
      <c r="F101" s="479">
        <v>4457563.1399999997</v>
      </c>
      <c r="G101" s="479">
        <v>4502648.6399999997</v>
      </c>
      <c r="H101" s="480">
        <v>719701.78616364778</v>
      </c>
      <c r="I101" s="481">
        <v>719701.78616364778</v>
      </c>
      <c r="J101" s="478">
        <f t="shared" si="28"/>
        <v>0</v>
      </c>
      <c r="K101" s="478"/>
      <c r="L101" s="540">
        <f t="shared" si="29"/>
        <v>719701.78616364778</v>
      </c>
      <c r="M101" s="541">
        <f t="shared" si="30"/>
        <v>0</v>
      </c>
      <c r="N101" s="540">
        <f t="shared" si="31"/>
        <v>719701.78616364778</v>
      </c>
      <c r="O101" s="478">
        <f t="shared" si="32"/>
        <v>0</v>
      </c>
      <c r="P101" s="478">
        <f t="shared" si="33"/>
        <v>0</v>
      </c>
    </row>
    <row r="102" spans="1:16" ht="12.5">
      <c r="B102" s="160" t="str">
        <f t="shared" si="34"/>
        <v/>
      </c>
      <c r="C102" s="472">
        <f>IF(D93="","-",+C101+1)</f>
        <v>2012</v>
      </c>
      <c r="D102" s="473">
        <v>4457563.1399999997</v>
      </c>
      <c r="E102" s="480">
        <v>90171</v>
      </c>
      <c r="F102" s="479">
        <v>4367392.1399999997</v>
      </c>
      <c r="G102" s="479">
        <v>4412477.6399999997</v>
      </c>
      <c r="H102" s="480">
        <v>724930.09682284109</v>
      </c>
      <c r="I102" s="481">
        <v>724930.09682284109</v>
      </c>
      <c r="J102" s="478">
        <v>0</v>
      </c>
      <c r="K102" s="478"/>
      <c r="L102" s="540">
        <f t="shared" si="29"/>
        <v>724930.09682284109</v>
      </c>
      <c r="M102" s="541">
        <f t="shared" ref="M102:M107" si="35">IF(L102&lt;&gt;0,+H102-L102,0)</f>
        <v>0</v>
      </c>
      <c r="N102" s="540">
        <f t="shared" si="31"/>
        <v>724930.09682284109</v>
      </c>
      <c r="O102" s="478">
        <f>IF(N102&lt;&gt;0,+I102-N102,0)</f>
        <v>0</v>
      </c>
      <c r="P102" s="478">
        <f>+O102-M102</f>
        <v>0</v>
      </c>
    </row>
    <row r="103" spans="1:16" ht="12.5">
      <c r="B103" s="160" t="str">
        <f t="shared" si="34"/>
        <v/>
      </c>
      <c r="C103" s="472">
        <f>IF(D93="","-",+C102+1)</f>
        <v>2013</v>
      </c>
      <c r="D103" s="473">
        <v>4367392.1399999997</v>
      </c>
      <c r="E103" s="480">
        <v>90171</v>
      </c>
      <c r="F103" s="479">
        <v>4277221.1399999997</v>
      </c>
      <c r="G103" s="479">
        <v>4322306.6399999997</v>
      </c>
      <c r="H103" s="480">
        <v>712322.06264393788</v>
      </c>
      <c r="I103" s="481">
        <v>712322.06264393788</v>
      </c>
      <c r="J103" s="478">
        <v>0</v>
      </c>
      <c r="K103" s="478"/>
      <c r="L103" s="540">
        <f t="shared" si="29"/>
        <v>712322.06264393788</v>
      </c>
      <c r="M103" s="541">
        <f t="shared" si="35"/>
        <v>0</v>
      </c>
      <c r="N103" s="540">
        <f t="shared" si="31"/>
        <v>712322.06264393788</v>
      </c>
      <c r="O103" s="478">
        <f>IF(N103&lt;&gt;0,+I103-N103,0)</f>
        <v>0</v>
      </c>
      <c r="P103" s="478">
        <f>+O103-M103</f>
        <v>0</v>
      </c>
    </row>
    <row r="104" spans="1:16" ht="12.5">
      <c r="B104" s="160" t="str">
        <f t="shared" si="34"/>
        <v/>
      </c>
      <c r="C104" s="472">
        <f>IF(D93="","-",+C103+1)</f>
        <v>2014</v>
      </c>
      <c r="D104" s="473">
        <v>4277221.1399999997</v>
      </c>
      <c r="E104" s="480">
        <v>90171</v>
      </c>
      <c r="F104" s="479">
        <v>4187050.1399999997</v>
      </c>
      <c r="G104" s="479">
        <v>4232135.6399999997</v>
      </c>
      <c r="H104" s="480">
        <v>685191.9710405051</v>
      </c>
      <c r="I104" s="481">
        <v>685191.9710405051</v>
      </c>
      <c r="J104" s="478">
        <v>0</v>
      </c>
      <c r="K104" s="478"/>
      <c r="L104" s="540">
        <f t="shared" si="29"/>
        <v>685191.9710405051</v>
      </c>
      <c r="M104" s="541">
        <f t="shared" si="35"/>
        <v>0</v>
      </c>
      <c r="N104" s="540">
        <f t="shared" si="31"/>
        <v>685191.9710405051</v>
      </c>
      <c r="O104" s="478">
        <f>IF(N104&lt;&gt;0,+I104-N104,0)</f>
        <v>0</v>
      </c>
      <c r="P104" s="478">
        <f>+O104-M104</f>
        <v>0</v>
      </c>
    </row>
    <row r="105" spans="1:16" ht="12.5">
      <c r="B105" s="160" t="str">
        <f t="shared" si="34"/>
        <v/>
      </c>
      <c r="C105" s="472">
        <f>IF(D93="","-",+C104+1)</f>
        <v>2015</v>
      </c>
      <c r="D105" s="473">
        <v>4187050.1399999997</v>
      </c>
      <c r="E105" s="480">
        <v>90171</v>
      </c>
      <c r="F105" s="479">
        <v>4096879.1399999997</v>
      </c>
      <c r="G105" s="479">
        <v>4141964.6399999997</v>
      </c>
      <c r="H105" s="480">
        <v>655308.7720911433</v>
      </c>
      <c r="I105" s="481">
        <v>655308.7720911433</v>
      </c>
      <c r="J105" s="478">
        <f t="shared" si="28"/>
        <v>0</v>
      </c>
      <c r="K105" s="478"/>
      <c r="L105" s="540">
        <f t="shared" ref="L105:L110" si="36">H105</f>
        <v>655308.7720911433</v>
      </c>
      <c r="M105" s="541">
        <f t="shared" si="35"/>
        <v>0</v>
      </c>
      <c r="N105" s="540">
        <f t="shared" ref="N105:N110" si="37">I105</f>
        <v>655308.7720911433</v>
      </c>
      <c r="O105" s="478">
        <f t="shared" si="32"/>
        <v>0</v>
      </c>
      <c r="P105" s="478">
        <f t="shared" si="33"/>
        <v>0</v>
      </c>
    </row>
    <row r="106" spans="1:16" ht="12.5">
      <c r="B106" s="160" t="str">
        <f t="shared" si="34"/>
        <v/>
      </c>
      <c r="C106" s="472">
        <f>IF(D93="","-",+C105+1)</f>
        <v>2016</v>
      </c>
      <c r="D106" s="473">
        <v>4096879.1399999997</v>
      </c>
      <c r="E106" s="480">
        <v>101933</v>
      </c>
      <c r="F106" s="479">
        <v>3994946.1399999997</v>
      </c>
      <c r="G106" s="479">
        <v>4045912.6399999997</v>
      </c>
      <c r="H106" s="480">
        <v>623514.8578657991</v>
      </c>
      <c r="I106" s="481">
        <v>623514.8578657991</v>
      </c>
      <c r="J106" s="478">
        <f t="shared" si="28"/>
        <v>0</v>
      </c>
      <c r="K106" s="478"/>
      <c r="L106" s="540">
        <f t="shared" si="36"/>
        <v>623514.8578657991</v>
      </c>
      <c r="M106" s="541">
        <f t="shared" si="35"/>
        <v>0</v>
      </c>
      <c r="N106" s="540">
        <f t="shared" si="37"/>
        <v>623514.8578657991</v>
      </c>
      <c r="O106" s="478">
        <f>IF(N106&lt;&gt;0,+I106-N106,0)</f>
        <v>0</v>
      </c>
      <c r="P106" s="478">
        <f>+O106-M106</f>
        <v>0</v>
      </c>
    </row>
    <row r="107" spans="1:16" ht="12.5">
      <c r="B107" s="160" t="str">
        <f t="shared" si="34"/>
        <v/>
      </c>
      <c r="C107" s="472">
        <f>IF(D93="","-",+C106+1)</f>
        <v>2017</v>
      </c>
      <c r="D107" s="473">
        <v>3994946.1399999997</v>
      </c>
      <c r="E107" s="480">
        <v>101933</v>
      </c>
      <c r="F107" s="479">
        <v>3893013.1399999997</v>
      </c>
      <c r="G107" s="479">
        <v>3943979.6399999997</v>
      </c>
      <c r="H107" s="480">
        <v>602236.76208219538</v>
      </c>
      <c r="I107" s="481">
        <v>602236.76208219538</v>
      </c>
      <c r="J107" s="478">
        <f t="shared" si="28"/>
        <v>0</v>
      </c>
      <c r="K107" s="478"/>
      <c r="L107" s="540">
        <f t="shared" si="36"/>
        <v>602236.76208219538</v>
      </c>
      <c r="M107" s="541">
        <f t="shared" si="35"/>
        <v>0</v>
      </c>
      <c r="N107" s="540">
        <f t="shared" si="37"/>
        <v>602236.76208219538</v>
      </c>
      <c r="O107" s="478">
        <f>IF(N107&lt;&gt;0,+I107-N107,0)</f>
        <v>0</v>
      </c>
      <c r="P107" s="478">
        <f>+O107-M107</f>
        <v>0</v>
      </c>
    </row>
    <row r="108" spans="1:16" ht="12.5">
      <c r="B108" s="160" t="str">
        <f t="shared" si="34"/>
        <v/>
      </c>
      <c r="C108" s="472">
        <f>IF(D93="","-",+C107+1)</f>
        <v>2018</v>
      </c>
      <c r="D108" s="473">
        <v>3893013.1399999997</v>
      </c>
      <c r="E108" s="480">
        <v>109044</v>
      </c>
      <c r="F108" s="479">
        <v>3783969.1399999997</v>
      </c>
      <c r="G108" s="479">
        <v>3838491.1399999997</v>
      </c>
      <c r="H108" s="480">
        <v>503393.56302800257</v>
      </c>
      <c r="I108" s="481">
        <v>503393.56302800257</v>
      </c>
      <c r="J108" s="478">
        <f t="shared" si="28"/>
        <v>0</v>
      </c>
      <c r="K108" s="478"/>
      <c r="L108" s="540">
        <f t="shared" si="36"/>
        <v>503393.56302800257</v>
      </c>
      <c r="M108" s="541">
        <f t="shared" ref="M108" si="38">IF(L108&lt;&gt;0,+H108-L108,0)</f>
        <v>0</v>
      </c>
      <c r="N108" s="540">
        <f t="shared" si="37"/>
        <v>503393.56302800257</v>
      </c>
      <c r="O108" s="478">
        <f>IF(N108&lt;&gt;0,+I108-N108,0)</f>
        <v>0</v>
      </c>
      <c r="P108" s="478">
        <f>+O108-M108</f>
        <v>0</v>
      </c>
    </row>
    <row r="109" spans="1:16" ht="12.5">
      <c r="B109" s="160" t="str">
        <f t="shared" si="34"/>
        <v/>
      </c>
      <c r="C109" s="472">
        <f>IF(D93="","-",+C108+1)</f>
        <v>2019</v>
      </c>
      <c r="D109" s="473">
        <v>3783969.1399999997</v>
      </c>
      <c r="E109" s="480">
        <v>114363</v>
      </c>
      <c r="F109" s="479">
        <v>3669606.1399999997</v>
      </c>
      <c r="G109" s="479">
        <v>3726787.6399999997</v>
      </c>
      <c r="H109" s="480">
        <v>498647.07790793071</v>
      </c>
      <c r="I109" s="481">
        <v>498647.07790793071</v>
      </c>
      <c r="J109" s="478">
        <f t="shared" si="28"/>
        <v>0</v>
      </c>
      <c r="K109" s="478"/>
      <c r="L109" s="540">
        <f t="shared" si="36"/>
        <v>498647.07790793071</v>
      </c>
      <c r="M109" s="541">
        <f t="shared" ref="M109:M110" si="39">IF(L109&lt;&gt;0,+H109-L109,0)</f>
        <v>0</v>
      </c>
      <c r="N109" s="540">
        <f t="shared" si="37"/>
        <v>498647.07790793071</v>
      </c>
      <c r="O109" s="478">
        <f t="shared" si="32"/>
        <v>0</v>
      </c>
      <c r="P109" s="478">
        <f t="shared" si="33"/>
        <v>0</v>
      </c>
    </row>
    <row r="110" spans="1:16" ht="12.5">
      <c r="B110" s="160" t="str">
        <f t="shared" si="34"/>
        <v/>
      </c>
      <c r="C110" s="472">
        <f>IF(D93="","-",+C109+1)</f>
        <v>2020</v>
      </c>
      <c r="D110" s="473">
        <v>3669606.1399999997</v>
      </c>
      <c r="E110" s="480">
        <v>109044</v>
      </c>
      <c r="F110" s="479">
        <v>3560562.1399999997</v>
      </c>
      <c r="G110" s="479">
        <v>3615084.1399999997</v>
      </c>
      <c r="H110" s="480">
        <v>525853.2624876654</v>
      </c>
      <c r="I110" s="481">
        <v>525853.2624876654</v>
      </c>
      <c r="J110" s="478">
        <f t="shared" si="28"/>
        <v>0</v>
      </c>
      <c r="K110" s="478"/>
      <c r="L110" s="540">
        <f t="shared" si="36"/>
        <v>525853.2624876654</v>
      </c>
      <c r="M110" s="541">
        <f t="shared" si="39"/>
        <v>0</v>
      </c>
      <c r="N110" s="540">
        <f t="shared" si="37"/>
        <v>525853.2624876654</v>
      </c>
      <c r="O110" s="478">
        <f t="shared" si="32"/>
        <v>0</v>
      </c>
      <c r="P110" s="478">
        <f t="shared" si="33"/>
        <v>0</v>
      </c>
    </row>
    <row r="111" spans="1:16" ht="12.5">
      <c r="B111" s="160" t="str">
        <f t="shared" si="34"/>
        <v/>
      </c>
      <c r="C111" s="472">
        <f>IF(D93="","-",+C110+1)</f>
        <v>2021</v>
      </c>
      <c r="D111" s="346">
        <f>IF(F110+SUM(E$99:E110)=D$92,F110,D$92-SUM(E$99:E110))</f>
        <v>3560562.1399999997</v>
      </c>
      <c r="E111" s="486">
        <f>IF(+J96&lt;F110,J96,D111)</f>
        <v>114363</v>
      </c>
      <c r="F111" s="485">
        <f t="shared" ref="F111:F130" si="40">+D111-E111</f>
        <v>3446199.1399999997</v>
      </c>
      <c r="G111" s="485">
        <f t="shared" ref="G111:G130" si="41">+(F111+D111)/2</f>
        <v>3503380.6399999997</v>
      </c>
      <c r="H111" s="488">
        <f t="shared" ref="H111:H154" si="42">+J$94*G111+E111</f>
        <v>513022.46807795716</v>
      </c>
      <c r="I111" s="542">
        <f t="shared" ref="I111:I154" si="43">+J$95*G111+E111</f>
        <v>513022.46807795716</v>
      </c>
      <c r="J111" s="478">
        <f t="shared" si="28"/>
        <v>0</v>
      </c>
      <c r="K111" s="478"/>
      <c r="L111" s="487"/>
      <c r="M111" s="478">
        <f t="shared" si="30"/>
        <v>0</v>
      </c>
      <c r="N111" s="487"/>
      <c r="O111" s="478">
        <f t="shared" si="32"/>
        <v>0</v>
      </c>
      <c r="P111" s="478">
        <f t="shared" si="33"/>
        <v>0</v>
      </c>
    </row>
    <row r="112" spans="1:16" ht="12.5">
      <c r="B112" s="160" t="str">
        <f t="shared" si="34"/>
        <v/>
      </c>
      <c r="C112" s="472">
        <f>IF(D93="","-",+C111+1)</f>
        <v>2022</v>
      </c>
      <c r="D112" s="346">
        <f>IF(F111+SUM(E$99:E111)=D$92,F111,D$92-SUM(E$99:E111))</f>
        <v>3446199.1399999997</v>
      </c>
      <c r="E112" s="486">
        <f>IF(+J96&lt;F111,J96,D112)</f>
        <v>114363</v>
      </c>
      <c r="F112" s="485">
        <f t="shared" si="40"/>
        <v>3331836.1399999997</v>
      </c>
      <c r="G112" s="485">
        <f t="shared" si="41"/>
        <v>3389017.6399999997</v>
      </c>
      <c r="H112" s="488">
        <f t="shared" si="42"/>
        <v>500008.7828884999</v>
      </c>
      <c r="I112" s="542">
        <f t="shared" si="43"/>
        <v>500008.7828884999</v>
      </c>
      <c r="J112" s="478">
        <f t="shared" si="28"/>
        <v>0</v>
      </c>
      <c r="K112" s="478"/>
      <c r="L112" s="487"/>
      <c r="M112" s="478">
        <f t="shared" si="30"/>
        <v>0</v>
      </c>
      <c r="N112" s="487"/>
      <c r="O112" s="478">
        <f t="shared" si="32"/>
        <v>0</v>
      </c>
      <c r="P112" s="478">
        <f t="shared" si="33"/>
        <v>0</v>
      </c>
    </row>
    <row r="113" spans="2:16" ht="12.5">
      <c r="B113" s="160" t="str">
        <f t="shared" si="34"/>
        <v/>
      </c>
      <c r="C113" s="472">
        <f>IF(D93="","-",+C112+1)</f>
        <v>2023</v>
      </c>
      <c r="D113" s="346">
        <f>IF(F112+SUM(E$99:E112)=D$92,F112,D$92-SUM(E$99:E112))</f>
        <v>3331836.1399999997</v>
      </c>
      <c r="E113" s="486">
        <f>IF(+J96&lt;F112,J96,D113)</f>
        <v>114363</v>
      </c>
      <c r="F113" s="485">
        <f t="shared" si="40"/>
        <v>3217473.1399999997</v>
      </c>
      <c r="G113" s="485">
        <f t="shared" si="41"/>
        <v>3274654.6399999997</v>
      </c>
      <c r="H113" s="488">
        <f t="shared" si="42"/>
        <v>486995.09769904258</v>
      </c>
      <c r="I113" s="542">
        <f t="shared" si="43"/>
        <v>486995.09769904258</v>
      </c>
      <c r="J113" s="478">
        <f t="shared" si="28"/>
        <v>0</v>
      </c>
      <c r="K113" s="478"/>
      <c r="L113" s="487"/>
      <c r="M113" s="478">
        <f t="shared" si="30"/>
        <v>0</v>
      </c>
      <c r="N113" s="487"/>
      <c r="O113" s="478">
        <f t="shared" si="32"/>
        <v>0</v>
      </c>
      <c r="P113" s="478">
        <f t="shared" si="33"/>
        <v>0</v>
      </c>
    </row>
    <row r="114" spans="2:16" ht="12.5">
      <c r="B114" s="160" t="str">
        <f t="shared" si="34"/>
        <v/>
      </c>
      <c r="C114" s="472">
        <f>IF(D93="","-",+C113+1)</f>
        <v>2024</v>
      </c>
      <c r="D114" s="346">
        <f>IF(F113+SUM(E$99:E113)=D$92,F113,D$92-SUM(E$99:E113))</f>
        <v>3217473.1399999997</v>
      </c>
      <c r="E114" s="486">
        <f>IF(+J96&lt;F113,J96,D114)</f>
        <v>114363</v>
      </c>
      <c r="F114" s="485">
        <f t="shared" si="40"/>
        <v>3103110.1399999997</v>
      </c>
      <c r="G114" s="485">
        <f t="shared" si="41"/>
        <v>3160291.6399999997</v>
      </c>
      <c r="H114" s="488">
        <f t="shared" si="42"/>
        <v>473981.41250958527</v>
      </c>
      <c r="I114" s="542">
        <f t="shared" si="43"/>
        <v>473981.41250958527</v>
      </c>
      <c r="J114" s="478">
        <f t="shared" si="28"/>
        <v>0</v>
      </c>
      <c r="K114" s="478"/>
      <c r="L114" s="487"/>
      <c r="M114" s="478">
        <f t="shared" si="30"/>
        <v>0</v>
      </c>
      <c r="N114" s="487"/>
      <c r="O114" s="478">
        <f t="shared" si="32"/>
        <v>0</v>
      </c>
      <c r="P114" s="478">
        <f t="shared" si="33"/>
        <v>0</v>
      </c>
    </row>
    <row r="115" spans="2:16" ht="12.5">
      <c r="B115" s="160" t="str">
        <f t="shared" si="34"/>
        <v/>
      </c>
      <c r="C115" s="472">
        <f>IF(D93="","-",+C114+1)</f>
        <v>2025</v>
      </c>
      <c r="D115" s="346">
        <f>IF(F114+SUM(E$99:E114)=D$92,F114,D$92-SUM(E$99:E114))</f>
        <v>3103110.1399999997</v>
      </c>
      <c r="E115" s="486">
        <f>IF(+J96&lt;F114,J96,D115)</f>
        <v>114363</v>
      </c>
      <c r="F115" s="485">
        <f t="shared" si="40"/>
        <v>2988747.1399999997</v>
      </c>
      <c r="G115" s="485">
        <f t="shared" si="41"/>
        <v>3045928.6399999997</v>
      </c>
      <c r="H115" s="488">
        <f t="shared" si="42"/>
        <v>460967.727320128</v>
      </c>
      <c r="I115" s="542">
        <f t="shared" si="43"/>
        <v>460967.727320128</v>
      </c>
      <c r="J115" s="478">
        <f t="shared" si="28"/>
        <v>0</v>
      </c>
      <c r="K115" s="478"/>
      <c r="L115" s="487"/>
      <c r="M115" s="478">
        <f t="shared" si="30"/>
        <v>0</v>
      </c>
      <c r="N115" s="487"/>
      <c r="O115" s="478">
        <f t="shared" si="32"/>
        <v>0</v>
      </c>
      <c r="P115" s="478">
        <f t="shared" si="33"/>
        <v>0</v>
      </c>
    </row>
    <row r="116" spans="2:16" ht="12.5">
      <c r="B116" s="160" t="str">
        <f t="shared" si="34"/>
        <v/>
      </c>
      <c r="C116" s="472">
        <f>IF(D93="","-",+C115+1)</f>
        <v>2026</v>
      </c>
      <c r="D116" s="346">
        <f>IF(F115+SUM(E$99:E115)=D$92,F115,D$92-SUM(E$99:E115))</f>
        <v>2988747.1399999997</v>
      </c>
      <c r="E116" s="486">
        <f>IF(+J96&lt;F115,J96,D116)</f>
        <v>114363</v>
      </c>
      <c r="F116" s="485">
        <f t="shared" si="40"/>
        <v>2874384.1399999997</v>
      </c>
      <c r="G116" s="485">
        <f t="shared" si="41"/>
        <v>2931565.6399999997</v>
      </c>
      <c r="H116" s="488">
        <f t="shared" si="42"/>
        <v>447954.04213067068</v>
      </c>
      <c r="I116" s="542">
        <f t="shared" si="43"/>
        <v>447954.04213067068</v>
      </c>
      <c r="J116" s="478">
        <f t="shared" si="28"/>
        <v>0</v>
      </c>
      <c r="K116" s="478"/>
      <c r="L116" s="487"/>
      <c r="M116" s="478">
        <f t="shared" si="30"/>
        <v>0</v>
      </c>
      <c r="N116" s="487"/>
      <c r="O116" s="478">
        <f t="shared" si="32"/>
        <v>0</v>
      </c>
      <c r="P116" s="478">
        <f t="shared" si="33"/>
        <v>0</v>
      </c>
    </row>
    <row r="117" spans="2:16" ht="12.5">
      <c r="B117" s="160" t="str">
        <f t="shared" si="34"/>
        <v/>
      </c>
      <c r="C117" s="472">
        <f>IF(D93="","-",+C116+1)</f>
        <v>2027</v>
      </c>
      <c r="D117" s="346">
        <f>IF(F116+SUM(E$99:E116)=D$92,F116,D$92-SUM(E$99:E116))</f>
        <v>2874384.1399999997</v>
      </c>
      <c r="E117" s="486">
        <f>IF(+J96&lt;F116,J96,D117)</f>
        <v>114363</v>
      </c>
      <c r="F117" s="485">
        <f t="shared" si="40"/>
        <v>2760021.1399999997</v>
      </c>
      <c r="G117" s="485">
        <f t="shared" si="41"/>
        <v>2817202.6399999997</v>
      </c>
      <c r="H117" s="488">
        <f t="shared" si="42"/>
        <v>434940.35694121342</v>
      </c>
      <c r="I117" s="542">
        <f t="shared" si="43"/>
        <v>434940.35694121342</v>
      </c>
      <c r="J117" s="478">
        <f t="shared" si="28"/>
        <v>0</v>
      </c>
      <c r="K117" s="478"/>
      <c r="L117" s="487"/>
      <c r="M117" s="478">
        <f t="shared" si="30"/>
        <v>0</v>
      </c>
      <c r="N117" s="487"/>
      <c r="O117" s="478">
        <f t="shared" si="32"/>
        <v>0</v>
      </c>
      <c r="P117" s="478">
        <f t="shared" si="33"/>
        <v>0</v>
      </c>
    </row>
    <row r="118" spans="2:16" ht="12.5">
      <c r="B118" s="160" t="str">
        <f t="shared" si="34"/>
        <v/>
      </c>
      <c r="C118" s="472">
        <f>IF(D93="","-",+C117+1)</f>
        <v>2028</v>
      </c>
      <c r="D118" s="346">
        <f>IF(F117+SUM(E$99:E117)=D$92,F117,D$92-SUM(E$99:E117))</f>
        <v>2760021.1399999997</v>
      </c>
      <c r="E118" s="486">
        <f>IF(+J96&lt;F117,J96,D118)</f>
        <v>114363</v>
      </c>
      <c r="F118" s="485">
        <f t="shared" si="40"/>
        <v>2645658.1399999997</v>
      </c>
      <c r="G118" s="485">
        <f t="shared" si="41"/>
        <v>2702839.6399999997</v>
      </c>
      <c r="H118" s="488">
        <f t="shared" si="42"/>
        <v>421926.6717517561</v>
      </c>
      <c r="I118" s="542">
        <f t="shared" si="43"/>
        <v>421926.6717517561</v>
      </c>
      <c r="J118" s="478">
        <f t="shared" si="28"/>
        <v>0</v>
      </c>
      <c r="K118" s="478"/>
      <c r="L118" s="487"/>
      <c r="M118" s="478">
        <f t="shared" si="30"/>
        <v>0</v>
      </c>
      <c r="N118" s="487"/>
      <c r="O118" s="478">
        <f t="shared" si="32"/>
        <v>0</v>
      </c>
      <c r="P118" s="478">
        <f t="shared" si="33"/>
        <v>0</v>
      </c>
    </row>
    <row r="119" spans="2:16" ht="12.5">
      <c r="B119" s="160" t="str">
        <f t="shared" si="34"/>
        <v/>
      </c>
      <c r="C119" s="472">
        <f>IF(D93="","-",+C118+1)</f>
        <v>2029</v>
      </c>
      <c r="D119" s="346">
        <f>IF(F118+SUM(E$99:E118)=D$92,F118,D$92-SUM(E$99:E118))</f>
        <v>2645658.1399999997</v>
      </c>
      <c r="E119" s="486">
        <f>IF(+J96&lt;F118,J96,D119)</f>
        <v>114363</v>
      </c>
      <c r="F119" s="485">
        <f t="shared" si="40"/>
        <v>2531295.1399999997</v>
      </c>
      <c r="G119" s="485">
        <f t="shared" si="41"/>
        <v>2588476.6399999997</v>
      </c>
      <c r="H119" s="488">
        <f t="shared" si="42"/>
        <v>408912.98656229879</v>
      </c>
      <c r="I119" s="542">
        <f t="shared" si="43"/>
        <v>408912.98656229879</v>
      </c>
      <c r="J119" s="478">
        <f t="shared" si="28"/>
        <v>0</v>
      </c>
      <c r="K119" s="478"/>
      <c r="L119" s="487"/>
      <c r="M119" s="478">
        <f t="shared" si="30"/>
        <v>0</v>
      </c>
      <c r="N119" s="487"/>
      <c r="O119" s="478">
        <f t="shared" si="32"/>
        <v>0</v>
      </c>
      <c r="P119" s="478">
        <f t="shared" si="33"/>
        <v>0</v>
      </c>
    </row>
    <row r="120" spans="2:16" ht="12.5">
      <c r="B120" s="160" t="str">
        <f t="shared" si="34"/>
        <v/>
      </c>
      <c r="C120" s="472">
        <f>IF(D93="","-",+C119+1)</f>
        <v>2030</v>
      </c>
      <c r="D120" s="346">
        <f>IF(F119+SUM(E$99:E119)=D$92,F119,D$92-SUM(E$99:E119))</f>
        <v>2531295.1399999997</v>
      </c>
      <c r="E120" s="486">
        <f>IF(+J96&lt;F119,J96,D120)</f>
        <v>114363</v>
      </c>
      <c r="F120" s="485">
        <f t="shared" si="40"/>
        <v>2416932.1399999997</v>
      </c>
      <c r="G120" s="485">
        <f t="shared" si="41"/>
        <v>2474113.6399999997</v>
      </c>
      <c r="H120" s="488">
        <f t="shared" si="42"/>
        <v>395899.30137284152</v>
      </c>
      <c r="I120" s="542">
        <f t="shared" si="43"/>
        <v>395899.30137284152</v>
      </c>
      <c r="J120" s="478">
        <f t="shared" si="28"/>
        <v>0</v>
      </c>
      <c r="K120" s="478"/>
      <c r="L120" s="487"/>
      <c r="M120" s="478">
        <f t="shared" si="30"/>
        <v>0</v>
      </c>
      <c r="N120" s="487"/>
      <c r="O120" s="478">
        <f t="shared" si="32"/>
        <v>0</v>
      </c>
      <c r="P120" s="478">
        <f t="shared" si="33"/>
        <v>0</v>
      </c>
    </row>
    <row r="121" spans="2:16" ht="12.5">
      <c r="B121" s="160" t="str">
        <f t="shared" si="34"/>
        <v/>
      </c>
      <c r="C121" s="472">
        <f>IF(D93="","-",+C120+1)</f>
        <v>2031</v>
      </c>
      <c r="D121" s="346">
        <f>IF(F120+SUM(E$99:E120)=D$92,F120,D$92-SUM(E$99:E120))</f>
        <v>2416932.1399999997</v>
      </c>
      <c r="E121" s="486">
        <f>IF(+J96&lt;F120,J96,D121)</f>
        <v>114363</v>
      </c>
      <c r="F121" s="485">
        <f t="shared" si="40"/>
        <v>2302569.1399999997</v>
      </c>
      <c r="G121" s="485">
        <f t="shared" si="41"/>
        <v>2359750.6399999997</v>
      </c>
      <c r="H121" s="488">
        <f t="shared" si="42"/>
        <v>382885.61618338421</v>
      </c>
      <c r="I121" s="542">
        <f t="shared" si="43"/>
        <v>382885.61618338421</v>
      </c>
      <c r="J121" s="478">
        <f t="shared" si="28"/>
        <v>0</v>
      </c>
      <c r="K121" s="478"/>
      <c r="L121" s="487"/>
      <c r="M121" s="478">
        <f t="shared" si="30"/>
        <v>0</v>
      </c>
      <c r="N121" s="487"/>
      <c r="O121" s="478">
        <f t="shared" si="32"/>
        <v>0</v>
      </c>
      <c r="P121" s="478">
        <f t="shared" si="33"/>
        <v>0</v>
      </c>
    </row>
    <row r="122" spans="2:16" ht="12.5">
      <c r="B122" s="160" t="str">
        <f t="shared" si="34"/>
        <v/>
      </c>
      <c r="C122" s="472">
        <f>IF(D93="","-",+C121+1)</f>
        <v>2032</v>
      </c>
      <c r="D122" s="346">
        <f>IF(F121+SUM(E$99:E121)=D$92,F121,D$92-SUM(E$99:E121))</f>
        <v>2302569.1399999997</v>
      </c>
      <c r="E122" s="486">
        <f>IF(+J96&lt;F121,J96,D122)</f>
        <v>114363</v>
      </c>
      <c r="F122" s="485">
        <f t="shared" si="40"/>
        <v>2188206.1399999997</v>
      </c>
      <c r="G122" s="485">
        <f t="shared" si="41"/>
        <v>2245387.6399999997</v>
      </c>
      <c r="H122" s="488">
        <f t="shared" si="42"/>
        <v>369871.93099392694</v>
      </c>
      <c r="I122" s="542">
        <f t="shared" si="43"/>
        <v>369871.93099392694</v>
      </c>
      <c r="J122" s="478">
        <f t="shared" si="28"/>
        <v>0</v>
      </c>
      <c r="K122" s="478"/>
      <c r="L122" s="487"/>
      <c r="M122" s="478">
        <f t="shared" si="30"/>
        <v>0</v>
      </c>
      <c r="N122" s="487"/>
      <c r="O122" s="478">
        <f t="shared" si="32"/>
        <v>0</v>
      </c>
      <c r="P122" s="478">
        <f t="shared" si="33"/>
        <v>0</v>
      </c>
    </row>
    <row r="123" spans="2:16" ht="12.5">
      <c r="B123" s="160" t="str">
        <f t="shared" si="34"/>
        <v/>
      </c>
      <c r="C123" s="472">
        <f>IF(D93="","-",+C122+1)</f>
        <v>2033</v>
      </c>
      <c r="D123" s="346">
        <f>IF(F122+SUM(E$99:E122)=D$92,F122,D$92-SUM(E$99:E122))</f>
        <v>2188206.1399999997</v>
      </c>
      <c r="E123" s="486">
        <f>IF(+J96&lt;F122,J96,D123)</f>
        <v>114363</v>
      </c>
      <c r="F123" s="485">
        <f t="shared" si="40"/>
        <v>2073843.1399999997</v>
      </c>
      <c r="G123" s="485">
        <f t="shared" si="41"/>
        <v>2131024.6399999997</v>
      </c>
      <c r="H123" s="488">
        <f t="shared" si="42"/>
        <v>356858.24580446962</v>
      </c>
      <c r="I123" s="542">
        <f t="shared" si="43"/>
        <v>356858.24580446962</v>
      </c>
      <c r="J123" s="478">
        <f t="shared" si="28"/>
        <v>0</v>
      </c>
      <c r="K123" s="478"/>
      <c r="L123" s="487"/>
      <c r="M123" s="478">
        <f t="shared" si="30"/>
        <v>0</v>
      </c>
      <c r="N123" s="487"/>
      <c r="O123" s="478">
        <f t="shared" si="32"/>
        <v>0</v>
      </c>
      <c r="P123" s="478">
        <f t="shared" si="33"/>
        <v>0</v>
      </c>
    </row>
    <row r="124" spans="2:16" ht="12.5">
      <c r="B124" s="160" t="str">
        <f t="shared" si="34"/>
        <v/>
      </c>
      <c r="C124" s="472">
        <f>IF(D93="","-",+C123+1)</f>
        <v>2034</v>
      </c>
      <c r="D124" s="346">
        <f>IF(F123+SUM(E$99:E123)=D$92,F123,D$92-SUM(E$99:E123))</f>
        <v>2073843.1399999997</v>
      </c>
      <c r="E124" s="486">
        <f>IF(+J96&lt;F123,J96,D124)</f>
        <v>114363</v>
      </c>
      <c r="F124" s="485">
        <f t="shared" si="40"/>
        <v>1959480.1399999997</v>
      </c>
      <c r="G124" s="485">
        <f t="shared" si="41"/>
        <v>2016661.6399999997</v>
      </c>
      <c r="H124" s="488">
        <f t="shared" si="42"/>
        <v>343844.56061501231</v>
      </c>
      <c r="I124" s="542">
        <f t="shared" si="43"/>
        <v>343844.56061501231</v>
      </c>
      <c r="J124" s="478">
        <f t="shared" si="28"/>
        <v>0</v>
      </c>
      <c r="K124" s="478"/>
      <c r="L124" s="487"/>
      <c r="M124" s="478">
        <f t="shared" si="30"/>
        <v>0</v>
      </c>
      <c r="N124" s="487"/>
      <c r="O124" s="478">
        <f t="shared" si="32"/>
        <v>0</v>
      </c>
      <c r="P124" s="478">
        <f t="shared" si="33"/>
        <v>0</v>
      </c>
    </row>
    <row r="125" spans="2:16" ht="12.5">
      <c r="B125" s="160" t="str">
        <f t="shared" si="34"/>
        <v/>
      </c>
      <c r="C125" s="472">
        <f>IF(D93="","-",+C124+1)</f>
        <v>2035</v>
      </c>
      <c r="D125" s="346">
        <f>IF(F124+SUM(E$99:E124)=D$92,F124,D$92-SUM(E$99:E124))</f>
        <v>1959480.1399999997</v>
      </c>
      <c r="E125" s="486">
        <f>IF(+J96&lt;F124,J96,D125)</f>
        <v>114363</v>
      </c>
      <c r="F125" s="485">
        <f t="shared" si="40"/>
        <v>1845117.1399999997</v>
      </c>
      <c r="G125" s="485">
        <f t="shared" si="41"/>
        <v>1902298.6399999997</v>
      </c>
      <c r="H125" s="488">
        <f t="shared" si="42"/>
        <v>330830.87542555504</v>
      </c>
      <c r="I125" s="542">
        <f t="shared" si="43"/>
        <v>330830.87542555504</v>
      </c>
      <c r="J125" s="478">
        <f t="shared" si="28"/>
        <v>0</v>
      </c>
      <c r="K125" s="478"/>
      <c r="L125" s="487"/>
      <c r="M125" s="478">
        <f t="shared" si="30"/>
        <v>0</v>
      </c>
      <c r="N125" s="487"/>
      <c r="O125" s="478">
        <f t="shared" si="32"/>
        <v>0</v>
      </c>
      <c r="P125" s="478">
        <f t="shared" si="33"/>
        <v>0</v>
      </c>
    </row>
    <row r="126" spans="2:16" ht="12.5">
      <c r="B126" s="160" t="str">
        <f t="shared" si="34"/>
        <v/>
      </c>
      <c r="C126" s="472">
        <f>IF(D93="","-",+C125+1)</f>
        <v>2036</v>
      </c>
      <c r="D126" s="346">
        <f>IF(F125+SUM(E$99:E125)=D$92,F125,D$92-SUM(E$99:E125))</f>
        <v>1845117.1399999997</v>
      </c>
      <c r="E126" s="486">
        <f>IF(+J96&lt;F125,J96,D126)</f>
        <v>114363</v>
      </c>
      <c r="F126" s="485">
        <f t="shared" si="40"/>
        <v>1730754.1399999997</v>
      </c>
      <c r="G126" s="485">
        <f t="shared" si="41"/>
        <v>1787935.6399999997</v>
      </c>
      <c r="H126" s="488">
        <f t="shared" si="42"/>
        <v>317817.19023609778</v>
      </c>
      <c r="I126" s="542">
        <f t="shared" si="43"/>
        <v>317817.19023609778</v>
      </c>
      <c r="J126" s="478">
        <f t="shared" si="28"/>
        <v>0</v>
      </c>
      <c r="K126" s="478"/>
      <c r="L126" s="487"/>
      <c r="M126" s="478">
        <f t="shared" si="30"/>
        <v>0</v>
      </c>
      <c r="N126" s="487"/>
      <c r="O126" s="478">
        <f t="shared" si="32"/>
        <v>0</v>
      </c>
      <c r="P126" s="478">
        <f t="shared" si="33"/>
        <v>0</v>
      </c>
    </row>
    <row r="127" spans="2:16" ht="12.5">
      <c r="B127" s="160" t="str">
        <f t="shared" si="34"/>
        <v/>
      </c>
      <c r="C127" s="472">
        <f>IF(D93="","-",+C126+1)</f>
        <v>2037</v>
      </c>
      <c r="D127" s="346">
        <f>IF(F126+SUM(E$99:E126)=D$92,F126,D$92-SUM(E$99:E126))</f>
        <v>1730754.1399999997</v>
      </c>
      <c r="E127" s="486">
        <f>IF(+J96&lt;F126,J96,D127)</f>
        <v>114363</v>
      </c>
      <c r="F127" s="485">
        <f t="shared" si="40"/>
        <v>1616391.1399999997</v>
      </c>
      <c r="G127" s="485">
        <f t="shared" si="41"/>
        <v>1673572.6399999997</v>
      </c>
      <c r="H127" s="488">
        <f t="shared" si="42"/>
        <v>304803.50504664041</v>
      </c>
      <c r="I127" s="542">
        <f t="shared" si="43"/>
        <v>304803.50504664041</v>
      </c>
      <c r="J127" s="478">
        <f t="shared" si="28"/>
        <v>0</v>
      </c>
      <c r="K127" s="478"/>
      <c r="L127" s="487"/>
      <c r="M127" s="478">
        <f t="shared" si="30"/>
        <v>0</v>
      </c>
      <c r="N127" s="487"/>
      <c r="O127" s="478">
        <f t="shared" si="32"/>
        <v>0</v>
      </c>
      <c r="P127" s="478">
        <f t="shared" si="33"/>
        <v>0</v>
      </c>
    </row>
    <row r="128" spans="2:16" ht="12.5">
      <c r="B128" s="160" t="str">
        <f t="shared" si="34"/>
        <v/>
      </c>
      <c r="C128" s="472">
        <f>IF(D93="","-",+C127+1)</f>
        <v>2038</v>
      </c>
      <c r="D128" s="346">
        <f>IF(F127+SUM(E$99:E127)=D$92,F127,D$92-SUM(E$99:E127))</f>
        <v>1616391.1399999997</v>
      </c>
      <c r="E128" s="486">
        <f>IF(+J96&lt;F127,J96,D128)</f>
        <v>114363</v>
      </c>
      <c r="F128" s="485">
        <f t="shared" si="40"/>
        <v>1502028.1399999997</v>
      </c>
      <c r="G128" s="485">
        <f t="shared" si="41"/>
        <v>1559209.6399999997</v>
      </c>
      <c r="H128" s="488">
        <f t="shared" si="42"/>
        <v>291789.81985718315</v>
      </c>
      <c r="I128" s="542">
        <f t="shared" si="43"/>
        <v>291789.81985718315</v>
      </c>
      <c r="J128" s="478">
        <f t="shared" si="28"/>
        <v>0</v>
      </c>
      <c r="K128" s="478"/>
      <c r="L128" s="487"/>
      <c r="M128" s="478">
        <f t="shared" si="30"/>
        <v>0</v>
      </c>
      <c r="N128" s="487"/>
      <c r="O128" s="478">
        <f t="shared" si="32"/>
        <v>0</v>
      </c>
      <c r="P128" s="478">
        <f t="shared" si="33"/>
        <v>0</v>
      </c>
    </row>
    <row r="129" spans="2:16" ht="12.5">
      <c r="B129" s="160" t="str">
        <f t="shared" si="34"/>
        <v/>
      </c>
      <c r="C129" s="472">
        <f>IF(D93="","-",+C128+1)</f>
        <v>2039</v>
      </c>
      <c r="D129" s="346">
        <f>IF(F128+SUM(E$99:E128)=D$92,F128,D$92-SUM(E$99:E128))</f>
        <v>1502028.1399999997</v>
      </c>
      <c r="E129" s="486">
        <f>IF(+J96&lt;F128,J96,D129)</f>
        <v>114363</v>
      </c>
      <c r="F129" s="485">
        <f t="shared" si="40"/>
        <v>1387665.1399999997</v>
      </c>
      <c r="G129" s="485">
        <f t="shared" si="41"/>
        <v>1444846.6399999997</v>
      </c>
      <c r="H129" s="488">
        <f t="shared" si="42"/>
        <v>278776.13466772588</v>
      </c>
      <c r="I129" s="542">
        <f t="shared" si="43"/>
        <v>278776.13466772588</v>
      </c>
      <c r="J129" s="478">
        <f t="shared" si="28"/>
        <v>0</v>
      </c>
      <c r="K129" s="478"/>
      <c r="L129" s="487"/>
      <c r="M129" s="478">
        <f t="shared" si="30"/>
        <v>0</v>
      </c>
      <c r="N129" s="487"/>
      <c r="O129" s="478">
        <f t="shared" si="32"/>
        <v>0</v>
      </c>
      <c r="P129" s="478">
        <f t="shared" si="33"/>
        <v>0</v>
      </c>
    </row>
    <row r="130" spans="2:16" ht="12.5">
      <c r="B130" s="160" t="str">
        <f t="shared" si="34"/>
        <v/>
      </c>
      <c r="C130" s="472">
        <f>IF(D93="","-",+C129+1)</f>
        <v>2040</v>
      </c>
      <c r="D130" s="346">
        <f>IF(F129+SUM(E$99:E129)=D$92,F129,D$92-SUM(E$99:E129))</f>
        <v>1387665.1399999997</v>
      </c>
      <c r="E130" s="486">
        <f>IF(+J96&lt;F129,J96,D130)</f>
        <v>114363</v>
      </c>
      <c r="F130" s="485">
        <f t="shared" si="40"/>
        <v>1273302.1399999997</v>
      </c>
      <c r="G130" s="485">
        <f t="shared" si="41"/>
        <v>1330483.6399999997</v>
      </c>
      <c r="H130" s="488">
        <f t="shared" si="42"/>
        <v>265762.44947826857</v>
      </c>
      <c r="I130" s="542">
        <f t="shared" si="43"/>
        <v>265762.44947826857</v>
      </c>
      <c r="J130" s="478">
        <f t="shared" si="28"/>
        <v>0</v>
      </c>
      <c r="K130" s="478"/>
      <c r="L130" s="487"/>
      <c r="M130" s="478">
        <f t="shared" si="30"/>
        <v>0</v>
      </c>
      <c r="N130" s="487"/>
      <c r="O130" s="478">
        <f t="shared" si="32"/>
        <v>0</v>
      </c>
      <c r="P130" s="478">
        <f t="shared" si="33"/>
        <v>0</v>
      </c>
    </row>
    <row r="131" spans="2:16" ht="12.5">
      <c r="B131" s="160" t="str">
        <f t="shared" si="34"/>
        <v/>
      </c>
      <c r="C131" s="472">
        <f>IF(D93="","-",+C130+1)</f>
        <v>2041</v>
      </c>
      <c r="D131" s="346">
        <f>IF(F130+SUM(E$99:E130)=D$92,F130,D$92-SUM(E$99:E130))</f>
        <v>1273302.1399999997</v>
      </c>
      <c r="E131" s="486">
        <f>IF(+J96&lt;F130,J96,D131)</f>
        <v>114363</v>
      </c>
      <c r="F131" s="485">
        <f t="shared" ref="F131:F154" si="44">+D131-E131</f>
        <v>1158939.1399999997</v>
      </c>
      <c r="G131" s="485">
        <f t="shared" ref="G131:G154" si="45">+(F131+D131)/2</f>
        <v>1216120.6399999997</v>
      </c>
      <c r="H131" s="488">
        <f t="shared" si="42"/>
        <v>252748.76428881128</v>
      </c>
      <c r="I131" s="542">
        <f t="shared" si="43"/>
        <v>252748.76428881128</v>
      </c>
      <c r="J131" s="478">
        <f t="shared" ref="J131:J154" si="46">+I131-H131</f>
        <v>0</v>
      </c>
      <c r="K131" s="478"/>
      <c r="L131" s="487"/>
      <c r="M131" s="478">
        <f t="shared" ref="M131:M154" si="47">IF(L131&lt;&gt;0,+H131-L131,0)</f>
        <v>0</v>
      </c>
      <c r="N131" s="487"/>
      <c r="O131" s="478">
        <f t="shared" ref="O131:O154" si="48">IF(N131&lt;&gt;0,+I131-N131,0)</f>
        <v>0</v>
      </c>
      <c r="P131" s="478">
        <f t="shared" ref="P131:P154" si="49">+O131-M131</f>
        <v>0</v>
      </c>
    </row>
    <row r="132" spans="2:16" ht="12.5">
      <c r="B132" s="160" t="str">
        <f t="shared" si="34"/>
        <v/>
      </c>
      <c r="C132" s="472">
        <f>IF(D93="","-",+C131+1)</f>
        <v>2042</v>
      </c>
      <c r="D132" s="346">
        <f>IF(F131+SUM(E$99:E131)=D$92,F131,D$92-SUM(E$99:E131))</f>
        <v>1158939.1399999997</v>
      </c>
      <c r="E132" s="486">
        <f>IF(+J96&lt;F131,J96,D132)</f>
        <v>114363</v>
      </c>
      <c r="F132" s="485">
        <f t="shared" si="44"/>
        <v>1044576.1399999997</v>
      </c>
      <c r="G132" s="485">
        <f t="shared" si="45"/>
        <v>1101757.6399999997</v>
      </c>
      <c r="H132" s="488">
        <f t="shared" si="42"/>
        <v>239735.07909935398</v>
      </c>
      <c r="I132" s="542">
        <f t="shared" si="43"/>
        <v>239735.07909935398</v>
      </c>
      <c r="J132" s="478">
        <f t="shared" si="46"/>
        <v>0</v>
      </c>
      <c r="K132" s="478"/>
      <c r="L132" s="487"/>
      <c r="M132" s="478">
        <f t="shared" si="47"/>
        <v>0</v>
      </c>
      <c r="N132" s="487"/>
      <c r="O132" s="478">
        <f t="shared" si="48"/>
        <v>0</v>
      </c>
      <c r="P132" s="478">
        <f t="shared" si="49"/>
        <v>0</v>
      </c>
    </row>
    <row r="133" spans="2:16" ht="12.5">
      <c r="B133" s="160" t="str">
        <f t="shared" si="34"/>
        <v/>
      </c>
      <c r="C133" s="472">
        <f>IF(D93="","-",+C132+1)</f>
        <v>2043</v>
      </c>
      <c r="D133" s="346">
        <f>IF(F132+SUM(E$99:E132)=D$92,F132,D$92-SUM(E$99:E132))</f>
        <v>1044576.1399999997</v>
      </c>
      <c r="E133" s="486">
        <f>IF(+J96&lt;F132,J96,D133)</f>
        <v>114363</v>
      </c>
      <c r="F133" s="485">
        <f t="shared" si="44"/>
        <v>930213.13999999966</v>
      </c>
      <c r="G133" s="485">
        <f t="shared" si="45"/>
        <v>987394.63999999966</v>
      </c>
      <c r="H133" s="488">
        <f t="shared" si="42"/>
        <v>226721.39390989667</v>
      </c>
      <c r="I133" s="542">
        <f t="shared" si="43"/>
        <v>226721.39390989667</v>
      </c>
      <c r="J133" s="478">
        <f t="shared" si="46"/>
        <v>0</v>
      </c>
      <c r="K133" s="478"/>
      <c r="L133" s="487"/>
      <c r="M133" s="478">
        <f t="shared" si="47"/>
        <v>0</v>
      </c>
      <c r="N133" s="487"/>
      <c r="O133" s="478">
        <f t="shared" si="48"/>
        <v>0</v>
      </c>
      <c r="P133" s="478">
        <f t="shared" si="49"/>
        <v>0</v>
      </c>
    </row>
    <row r="134" spans="2:16" ht="12.5">
      <c r="B134" s="160" t="str">
        <f t="shared" si="34"/>
        <v/>
      </c>
      <c r="C134" s="472">
        <f>IF(D93="","-",+C133+1)</f>
        <v>2044</v>
      </c>
      <c r="D134" s="346">
        <f>IF(F133+SUM(E$99:E133)=D$92,F133,D$92-SUM(E$99:E133))</f>
        <v>930213.13999999966</v>
      </c>
      <c r="E134" s="486">
        <f>IF(+J96&lt;F133,J96,D134)</f>
        <v>114363</v>
      </c>
      <c r="F134" s="485">
        <f t="shared" si="44"/>
        <v>815850.13999999966</v>
      </c>
      <c r="G134" s="485">
        <f t="shared" si="45"/>
        <v>873031.63999999966</v>
      </c>
      <c r="H134" s="488">
        <f t="shared" si="42"/>
        <v>213707.70872043938</v>
      </c>
      <c r="I134" s="542">
        <f t="shared" si="43"/>
        <v>213707.70872043938</v>
      </c>
      <c r="J134" s="478">
        <f t="shared" si="46"/>
        <v>0</v>
      </c>
      <c r="K134" s="478"/>
      <c r="L134" s="487"/>
      <c r="M134" s="478">
        <f t="shared" si="47"/>
        <v>0</v>
      </c>
      <c r="N134" s="487"/>
      <c r="O134" s="478">
        <f t="shared" si="48"/>
        <v>0</v>
      </c>
      <c r="P134" s="478">
        <f t="shared" si="49"/>
        <v>0</v>
      </c>
    </row>
    <row r="135" spans="2:16" ht="12.5">
      <c r="B135" s="160" t="str">
        <f t="shared" si="34"/>
        <v/>
      </c>
      <c r="C135" s="472">
        <f>IF(D93="","-",+C134+1)</f>
        <v>2045</v>
      </c>
      <c r="D135" s="346">
        <f>IF(F134+SUM(E$99:E134)=D$92,F134,D$92-SUM(E$99:E134))</f>
        <v>815850.13999999966</v>
      </c>
      <c r="E135" s="486">
        <f>IF(+J96&lt;F134,J96,D135)</f>
        <v>114363</v>
      </c>
      <c r="F135" s="485">
        <f t="shared" si="44"/>
        <v>701487.13999999966</v>
      </c>
      <c r="G135" s="485">
        <f t="shared" si="45"/>
        <v>758668.63999999966</v>
      </c>
      <c r="H135" s="488">
        <f t="shared" si="42"/>
        <v>200694.02353098209</v>
      </c>
      <c r="I135" s="542">
        <f t="shared" si="43"/>
        <v>200694.02353098209</v>
      </c>
      <c r="J135" s="478">
        <f t="shared" si="46"/>
        <v>0</v>
      </c>
      <c r="K135" s="478"/>
      <c r="L135" s="487"/>
      <c r="M135" s="478">
        <f t="shared" si="47"/>
        <v>0</v>
      </c>
      <c r="N135" s="487"/>
      <c r="O135" s="478">
        <f t="shared" si="48"/>
        <v>0</v>
      </c>
      <c r="P135" s="478">
        <f t="shared" si="49"/>
        <v>0</v>
      </c>
    </row>
    <row r="136" spans="2:16" ht="12.5">
      <c r="B136" s="160" t="str">
        <f t="shared" si="34"/>
        <v/>
      </c>
      <c r="C136" s="472">
        <f>IF(D93="","-",+C135+1)</f>
        <v>2046</v>
      </c>
      <c r="D136" s="346">
        <f>IF(F135+SUM(E$99:E135)=D$92,F135,D$92-SUM(E$99:E135))</f>
        <v>701487.13999999966</v>
      </c>
      <c r="E136" s="486">
        <f>IF(+J96&lt;F135,J96,D136)</f>
        <v>114363</v>
      </c>
      <c r="F136" s="485">
        <f t="shared" si="44"/>
        <v>587124.13999999966</v>
      </c>
      <c r="G136" s="485">
        <f t="shared" si="45"/>
        <v>644305.63999999966</v>
      </c>
      <c r="H136" s="488">
        <f t="shared" si="42"/>
        <v>187680.3383415248</v>
      </c>
      <c r="I136" s="542">
        <f t="shared" si="43"/>
        <v>187680.3383415248</v>
      </c>
      <c r="J136" s="478">
        <f t="shared" si="46"/>
        <v>0</v>
      </c>
      <c r="K136" s="478"/>
      <c r="L136" s="487"/>
      <c r="M136" s="478">
        <f t="shared" si="47"/>
        <v>0</v>
      </c>
      <c r="N136" s="487"/>
      <c r="O136" s="478">
        <f t="shared" si="48"/>
        <v>0</v>
      </c>
      <c r="P136" s="478">
        <f t="shared" si="49"/>
        <v>0</v>
      </c>
    </row>
    <row r="137" spans="2:16" ht="12.5">
      <c r="B137" s="160" t="str">
        <f t="shared" si="34"/>
        <v/>
      </c>
      <c r="C137" s="472">
        <f>IF(D93="","-",+C136+1)</f>
        <v>2047</v>
      </c>
      <c r="D137" s="346">
        <f>IF(F136+SUM(E$99:E136)=D$92,F136,D$92-SUM(E$99:E136))</f>
        <v>587124.13999999966</v>
      </c>
      <c r="E137" s="486">
        <f>IF(+J96&lt;F136,J96,D137)</f>
        <v>114363</v>
      </c>
      <c r="F137" s="485">
        <f t="shared" si="44"/>
        <v>472761.13999999966</v>
      </c>
      <c r="G137" s="485">
        <f t="shared" si="45"/>
        <v>529942.63999999966</v>
      </c>
      <c r="H137" s="488">
        <f t="shared" si="42"/>
        <v>174666.65315206751</v>
      </c>
      <c r="I137" s="542">
        <f t="shared" si="43"/>
        <v>174666.65315206751</v>
      </c>
      <c r="J137" s="478">
        <f t="shared" si="46"/>
        <v>0</v>
      </c>
      <c r="K137" s="478"/>
      <c r="L137" s="487"/>
      <c r="M137" s="478">
        <f t="shared" si="47"/>
        <v>0</v>
      </c>
      <c r="N137" s="487"/>
      <c r="O137" s="478">
        <f t="shared" si="48"/>
        <v>0</v>
      </c>
      <c r="P137" s="478">
        <f t="shared" si="49"/>
        <v>0</v>
      </c>
    </row>
    <row r="138" spans="2:16" ht="12.5">
      <c r="B138" s="160" t="str">
        <f t="shared" si="34"/>
        <v/>
      </c>
      <c r="C138" s="472">
        <f>IF(D93="","-",+C137+1)</f>
        <v>2048</v>
      </c>
      <c r="D138" s="346">
        <f>IF(F137+SUM(E$99:E137)=D$92,F137,D$92-SUM(E$99:E137))</f>
        <v>472761.13999999966</v>
      </c>
      <c r="E138" s="486">
        <f>IF(+J96&lt;F137,J96,D138)</f>
        <v>114363</v>
      </c>
      <c r="F138" s="485">
        <f t="shared" si="44"/>
        <v>358398.13999999966</v>
      </c>
      <c r="G138" s="485">
        <f t="shared" si="45"/>
        <v>415579.63999999966</v>
      </c>
      <c r="H138" s="488">
        <f t="shared" si="42"/>
        <v>161652.96796261019</v>
      </c>
      <c r="I138" s="542">
        <f t="shared" si="43"/>
        <v>161652.96796261019</v>
      </c>
      <c r="J138" s="478">
        <f t="shared" si="46"/>
        <v>0</v>
      </c>
      <c r="K138" s="478"/>
      <c r="L138" s="487"/>
      <c r="M138" s="478">
        <f t="shared" si="47"/>
        <v>0</v>
      </c>
      <c r="N138" s="487"/>
      <c r="O138" s="478">
        <f t="shared" si="48"/>
        <v>0</v>
      </c>
      <c r="P138" s="478">
        <f t="shared" si="49"/>
        <v>0</v>
      </c>
    </row>
    <row r="139" spans="2:16" ht="12.5">
      <c r="B139" s="160" t="str">
        <f t="shared" si="34"/>
        <v/>
      </c>
      <c r="C139" s="472">
        <f>IF(D93="","-",+C138+1)</f>
        <v>2049</v>
      </c>
      <c r="D139" s="346">
        <f>IF(F138+SUM(E$99:E138)=D$92,F138,D$92-SUM(E$99:E138))</f>
        <v>358398.13999999966</v>
      </c>
      <c r="E139" s="486">
        <f>IF(+J96&lt;F138,J96,D139)</f>
        <v>114363</v>
      </c>
      <c r="F139" s="485">
        <f t="shared" si="44"/>
        <v>244035.13999999966</v>
      </c>
      <c r="G139" s="485">
        <f t="shared" si="45"/>
        <v>301216.63999999966</v>
      </c>
      <c r="H139" s="488">
        <f t="shared" si="42"/>
        <v>148639.2827731529</v>
      </c>
      <c r="I139" s="542">
        <f t="shared" si="43"/>
        <v>148639.2827731529</v>
      </c>
      <c r="J139" s="478">
        <f t="shared" si="46"/>
        <v>0</v>
      </c>
      <c r="K139" s="478"/>
      <c r="L139" s="487"/>
      <c r="M139" s="478">
        <f t="shared" si="47"/>
        <v>0</v>
      </c>
      <c r="N139" s="487"/>
      <c r="O139" s="478">
        <f t="shared" si="48"/>
        <v>0</v>
      </c>
      <c r="P139" s="478">
        <f t="shared" si="49"/>
        <v>0</v>
      </c>
    </row>
    <row r="140" spans="2:16" ht="12.5">
      <c r="B140" s="160" t="str">
        <f t="shared" si="34"/>
        <v/>
      </c>
      <c r="C140" s="472">
        <f>IF(D93="","-",+C139+1)</f>
        <v>2050</v>
      </c>
      <c r="D140" s="346">
        <f>IF(F139+SUM(E$99:E139)=D$92,F139,D$92-SUM(E$99:E139))</f>
        <v>244035.13999999966</v>
      </c>
      <c r="E140" s="486">
        <f>IF(+J96&lt;F139,J96,D140)</f>
        <v>114363</v>
      </c>
      <c r="F140" s="485">
        <f t="shared" si="44"/>
        <v>129672.13999999966</v>
      </c>
      <c r="G140" s="485">
        <f t="shared" si="45"/>
        <v>186853.63999999966</v>
      </c>
      <c r="H140" s="488">
        <f t="shared" si="42"/>
        <v>135625.59758369561</v>
      </c>
      <c r="I140" s="542">
        <f t="shared" si="43"/>
        <v>135625.59758369561</v>
      </c>
      <c r="J140" s="478">
        <f t="shared" si="46"/>
        <v>0</v>
      </c>
      <c r="K140" s="478"/>
      <c r="L140" s="487"/>
      <c r="M140" s="478">
        <f t="shared" si="47"/>
        <v>0</v>
      </c>
      <c r="N140" s="487"/>
      <c r="O140" s="478">
        <f t="shared" si="48"/>
        <v>0</v>
      </c>
      <c r="P140" s="478">
        <f t="shared" si="49"/>
        <v>0</v>
      </c>
    </row>
    <row r="141" spans="2:16" ht="12.5">
      <c r="B141" s="160" t="str">
        <f t="shared" si="34"/>
        <v/>
      </c>
      <c r="C141" s="472">
        <f>IF(D93="","-",+C140+1)</f>
        <v>2051</v>
      </c>
      <c r="D141" s="346">
        <f>IF(F140+SUM(E$99:E140)=D$92,F140,D$92-SUM(E$99:E140))</f>
        <v>129672.13999999966</v>
      </c>
      <c r="E141" s="486">
        <f>IF(+J96&lt;F140,J96,D141)</f>
        <v>114363</v>
      </c>
      <c r="F141" s="485">
        <f t="shared" si="44"/>
        <v>15309.139999999665</v>
      </c>
      <c r="G141" s="485">
        <f t="shared" si="45"/>
        <v>72490.639999999665</v>
      </c>
      <c r="H141" s="488">
        <f t="shared" si="42"/>
        <v>122611.91239423832</v>
      </c>
      <c r="I141" s="542">
        <f t="shared" si="43"/>
        <v>122611.91239423832</v>
      </c>
      <c r="J141" s="478">
        <f t="shared" si="46"/>
        <v>0</v>
      </c>
      <c r="K141" s="478"/>
      <c r="L141" s="487"/>
      <c r="M141" s="478">
        <f t="shared" si="47"/>
        <v>0</v>
      </c>
      <c r="N141" s="487"/>
      <c r="O141" s="478">
        <f t="shared" si="48"/>
        <v>0</v>
      </c>
      <c r="P141" s="478">
        <f t="shared" si="49"/>
        <v>0</v>
      </c>
    </row>
    <row r="142" spans="2:16" ht="12.5">
      <c r="B142" s="160" t="str">
        <f t="shared" si="34"/>
        <v/>
      </c>
      <c r="C142" s="472">
        <f>IF(D93="","-",+C141+1)</f>
        <v>2052</v>
      </c>
      <c r="D142" s="346">
        <f>IF(F141+SUM(E$99:E141)=D$92,F141,D$92-SUM(E$99:E141))</f>
        <v>15309.139999999665</v>
      </c>
      <c r="E142" s="486">
        <f>IF(+J96&lt;F141,J96,D142)</f>
        <v>15309.139999999665</v>
      </c>
      <c r="F142" s="485">
        <f t="shared" si="44"/>
        <v>0</v>
      </c>
      <c r="G142" s="485">
        <f t="shared" si="45"/>
        <v>7654.5699999998324</v>
      </c>
      <c r="H142" s="488">
        <f t="shared" si="42"/>
        <v>16180.174899754498</v>
      </c>
      <c r="I142" s="542">
        <f t="shared" si="43"/>
        <v>16180.174899754498</v>
      </c>
      <c r="J142" s="478">
        <f t="shared" si="46"/>
        <v>0</v>
      </c>
      <c r="K142" s="478"/>
      <c r="L142" s="487"/>
      <c r="M142" s="478">
        <f t="shared" si="47"/>
        <v>0</v>
      </c>
      <c r="N142" s="487"/>
      <c r="O142" s="478">
        <f t="shared" si="48"/>
        <v>0</v>
      </c>
      <c r="P142" s="478">
        <f t="shared" si="49"/>
        <v>0</v>
      </c>
    </row>
    <row r="143" spans="2:16" ht="12.5">
      <c r="B143" s="160" t="str">
        <f t="shared" si="34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4"/>
        <v>0</v>
      </c>
      <c r="G143" s="485">
        <f t="shared" si="45"/>
        <v>0</v>
      </c>
      <c r="H143" s="488">
        <f t="shared" si="42"/>
        <v>0</v>
      </c>
      <c r="I143" s="542">
        <f t="shared" si="43"/>
        <v>0</v>
      </c>
      <c r="J143" s="478">
        <f t="shared" si="46"/>
        <v>0</v>
      </c>
      <c r="K143" s="478"/>
      <c r="L143" s="487"/>
      <c r="M143" s="478">
        <f t="shared" si="47"/>
        <v>0</v>
      </c>
      <c r="N143" s="487"/>
      <c r="O143" s="478">
        <f t="shared" si="48"/>
        <v>0</v>
      </c>
      <c r="P143" s="478">
        <f t="shared" si="49"/>
        <v>0</v>
      </c>
    </row>
    <row r="144" spans="2:16" ht="12.5">
      <c r="B144" s="160" t="str">
        <f t="shared" si="34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4"/>
        <v>0</v>
      </c>
      <c r="G144" s="485">
        <f t="shared" si="45"/>
        <v>0</v>
      </c>
      <c r="H144" s="488">
        <f t="shared" si="42"/>
        <v>0</v>
      </c>
      <c r="I144" s="542">
        <f t="shared" si="43"/>
        <v>0</v>
      </c>
      <c r="J144" s="478">
        <f t="shared" si="46"/>
        <v>0</v>
      </c>
      <c r="K144" s="478"/>
      <c r="L144" s="487"/>
      <c r="M144" s="478">
        <f t="shared" si="47"/>
        <v>0</v>
      </c>
      <c r="N144" s="487"/>
      <c r="O144" s="478">
        <f t="shared" si="48"/>
        <v>0</v>
      </c>
      <c r="P144" s="478">
        <f t="shared" si="49"/>
        <v>0</v>
      </c>
    </row>
    <row r="145" spans="2:16" ht="12.5">
      <c r="B145" s="160" t="str">
        <f t="shared" si="34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4"/>
        <v>0</v>
      </c>
      <c r="G145" s="485">
        <f t="shared" si="45"/>
        <v>0</v>
      </c>
      <c r="H145" s="488">
        <f t="shared" si="42"/>
        <v>0</v>
      </c>
      <c r="I145" s="542">
        <f t="shared" si="43"/>
        <v>0</v>
      </c>
      <c r="J145" s="478">
        <f t="shared" si="46"/>
        <v>0</v>
      </c>
      <c r="K145" s="478"/>
      <c r="L145" s="487"/>
      <c r="M145" s="478">
        <f t="shared" si="47"/>
        <v>0</v>
      </c>
      <c r="N145" s="487"/>
      <c r="O145" s="478">
        <f t="shared" si="48"/>
        <v>0</v>
      </c>
      <c r="P145" s="478">
        <f t="shared" si="49"/>
        <v>0</v>
      </c>
    </row>
    <row r="146" spans="2:16" ht="12.5">
      <c r="B146" s="160" t="str">
        <f t="shared" si="34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4"/>
        <v>0</v>
      </c>
      <c r="G146" s="485">
        <f t="shared" si="45"/>
        <v>0</v>
      </c>
      <c r="H146" s="488">
        <f t="shared" si="42"/>
        <v>0</v>
      </c>
      <c r="I146" s="542">
        <f t="shared" si="43"/>
        <v>0</v>
      </c>
      <c r="J146" s="478">
        <f t="shared" si="46"/>
        <v>0</v>
      </c>
      <c r="K146" s="478"/>
      <c r="L146" s="487"/>
      <c r="M146" s="478">
        <f t="shared" si="47"/>
        <v>0</v>
      </c>
      <c r="N146" s="487"/>
      <c r="O146" s="478">
        <f t="shared" si="48"/>
        <v>0</v>
      </c>
      <c r="P146" s="478">
        <f t="shared" si="49"/>
        <v>0</v>
      </c>
    </row>
    <row r="147" spans="2:16" ht="12.5">
      <c r="B147" s="160" t="str">
        <f t="shared" si="34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4"/>
        <v>0</v>
      </c>
      <c r="G147" s="485">
        <f t="shared" si="45"/>
        <v>0</v>
      </c>
      <c r="H147" s="488">
        <f t="shared" si="42"/>
        <v>0</v>
      </c>
      <c r="I147" s="542">
        <f t="shared" si="43"/>
        <v>0</v>
      </c>
      <c r="J147" s="478">
        <f t="shared" si="46"/>
        <v>0</v>
      </c>
      <c r="K147" s="478"/>
      <c r="L147" s="487"/>
      <c r="M147" s="478">
        <f t="shared" si="47"/>
        <v>0</v>
      </c>
      <c r="N147" s="487"/>
      <c r="O147" s="478">
        <f t="shared" si="48"/>
        <v>0</v>
      </c>
      <c r="P147" s="478">
        <f t="shared" si="49"/>
        <v>0</v>
      </c>
    </row>
    <row r="148" spans="2:16" ht="12.5">
      <c r="B148" s="160" t="str">
        <f t="shared" si="34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4"/>
        <v>0</v>
      </c>
      <c r="G148" s="485">
        <f t="shared" si="45"/>
        <v>0</v>
      </c>
      <c r="H148" s="488">
        <f t="shared" si="42"/>
        <v>0</v>
      </c>
      <c r="I148" s="542">
        <f t="shared" si="43"/>
        <v>0</v>
      </c>
      <c r="J148" s="478">
        <f t="shared" si="46"/>
        <v>0</v>
      </c>
      <c r="K148" s="478"/>
      <c r="L148" s="487"/>
      <c r="M148" s="478">
        <f t="shared" si="47"/>
        <v>0</v>
      </c>
      <c r="N148" s="487"/>
      <c r="O148" s="478">
        <f t="shared" si="48"/>
        <v>0</v>
      </c>
      <c r="P148" s="478">
        <f t="shared" si="49"/>
        <v>0</v>
      </c>
    </row>
    <row r="149" spans="2:16" ht="12.5">
      <c r="B149" s="160" t="str">
        <f t="shared" si="34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4"/>
        <v>0</v>
      </c>
      <c r="G149" s="485">
        <f t="shared" si="45"/>
        <v>0</v>
      </c>
      <c r="H149" s="488">
        <f t="shared" si="42"/>
        <v>0</v>
      </c>
      <c r="I149" s="542">
        <f t="shared" si="43"/>
        <v>0</v>
      </c>
      <c r="J149" s="478">
        <f t="shared" si="46"/>
        <v>0</v>
      </c>
      <c r="K149" s="478"/>
      <c r="L149" s="487"/>
      <c r="M149" s="478">
        <f t="shared" si="47"/>
        <v>0</v>
      </c>
      <c r="N149" s="487"/>
      <c r="O149" s="478">
        <f t="shared" si="48"/>
        <v>0</v>
      </c>
      <c r="P149" s="478">
        <f t="shared" si="49"/>
        <v>0</v>
      </c>
    </row>
    <row r="150" spans="2:16" ht="12.5">
      <c r="B150" s="160" t="str">
        <f t="shared" si="34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4"/>
        <v>0</v>
      </c>
      <c r="G150" s="485">
        <f t="shared" si="45"/>
        <v>0</v>
      </c>
      <c r="H150" s="488">
        <f t="shared" si="42"/>
        <v>0</v>
      </c>
      <c r="I150" s="542">
        <f t="shared" si="43"/>
        <v>0</v>
      </c>
      <c r="J150" s="478">
        <f t="shared" si="46"/>
        <v>0</v>
      </c>
      <c r="K150" s="478"/>
      <c r="L150" s="487"/>
      <c r="M150" s="478">
        <f t="shared" si="47"/>
        <v>0</v>
      </c>
      <c r="N150" s="487"/>
      <c r="O150" s="478">
        <f t="shared" si="48"/>
        <v>0</v>
      </c>
      <c r="P150" s="478">
        <f t="shared" si="49"/>
        <v>0</v>
      </c>
    </row>
    <row r="151" spans="2:16" ht="12.5">
      <c r="B151" s="160" t="str">
        <f t="shared" si="34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4"/>
        <v>0</v>
      </c>
      <c r="G151" s="485">
        <f t="shared" si="45"/>
        <v>0</v>
      </c>
      <c r="H151" s="488">
        <f t="shared" si="42"/>
        <v>0</v>
      </c>
      <c r="I151" s="542">
        <f t="shared" si="43"/>
        <v>0</v>
      </c>
      <c r="J151" s="478">
        <f t="shared" si="46"/>
        <v>0</v>
      </c>
      <c r="K151" s="478"/>
      <c r="L151" s="487"/>
      <c r="M151" s="478">
        <f t="shared" si="47"/>
        <v>0</v>
      </c>
      <c r="N151" s="487"/>
      <c r="O151" s="478">
        <f t="shared" si="48"/>
        <v>0</v>
      </c>
      <c r="P151" s="478">
        <f t="shared" si="49"/>
        <v>0</v>
      </c>
    </row>
    <row r="152" spans="2:16" ht="12.5">
      <c r="B152" s="160" t="str">
        <f t="shared" si="34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4"/>
        <v>0</v>
      </c>
      <c r="G152" s="485">
        <f t="shared" si="45"/>
        <v>0</v>
      </c>
      <c r="H152" s="488">
        <f t="shared" si="42"/>
        <v>0</v>
      </c>
      <c r="I152" s="542">
        <f t="shared" si="43"/>
        <v>0</v>
      </c>
      <c r="J152" s="478">
        <f t="shared" si="46"/>
        <v>0</v>
      </c>
      <c r="K152" s="478"/>
      <c r="L152" s="487"/>
      <c r="M152" s="478">
        <f t="shared" si="47"/>
        <v>0</v>
      </c>
      <c r="N152" s="487"/>
      <c r="O152" s="478">
        <f t="shared" si="48"/>
        <v>0</v>
      </c>
      <c r="P152" s="478">
        <f t="shared" si="49"/>
        <v>0</v>
      </c>
    </row>
    <row r="153" spans="2:16" ht="12.5">
      <c r="B153" s="160" t="str">
        <f t="shared" si="34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4"/>
        <v>0</v>
      </c>
      <c r="G153" s="485">
        <f t="shared" si="45"/>
        <v>0</v>
      </c>
      <c r="H153" s="488">
        <f t="shared" si="42"/>
        <v>0</v>
      </c>
      <c r="I153" s="542">
        <f t="shared" si="43"/>
        <v>0</v>
      </c>
      <c r="J153" s="478">
        <f t="shared" si="46"/>
        <v>0</v>
      </c>
      <c r="K153" s="478"/>
      <c r="L153" s="487"/>
      <c r="M153" s="478">
        <f t="shared" si="47"/>
        <v>0</v>
      </c>
      <c r="N153" s="487"/>
      <c r="O153" s="478">
        <f t="shared" si="48"/>
        <v>0</v>
      </c>
      <c r="P153" s="478">
        <f t="shared" si="49"/>
        <v>0</v>
      </c>
    </row>
    <row r="154" spans="2:16" ht="13" thickBot="1">
      <c r="B154" s="160" t="str">
        <f t="shared" si="34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4"/>
        <v>0</v>
      </c>
      <c r="G154" s="490">
        <f t="shared" si="45"/>
        <v>0</v>
      </c>
      <c r="H154" s="492">
        <f t="shared" si="42"/>
        <v>0</v>
      </c>
      <c r="I154" s="545">
        <f t="shared" si="43"/>
        <v>0</v>
      </c>
      <c r="J154" s="495">
        <f t="shared" si="46"/>
        <v>0</v>
      </c>
      <c r="K154" s="478"/>
      <c r="L154" s="494"/>
      <c r="M154" s="495">
        <f t="shared" si="47"/>
        <v>0</v>
      </c>
      <c r="N154" s="494"/>
      <c r="O154" s="495">
        <f t="shared" si="48"/>
        <v>0</v>
      </c>
      <c r="P154" s="495">
        <f t="shared" si="49"/>
        <v>0</v>
      </c>
    </row>
    <row r="155" spans="2:16" ht="12.5">
      <c r="C155" s="346" t="s">
        <v>77</v>
      </c>
      <c r="D155" s="347"/>
      <c r="E155" s="347">
        <f>SUM(E99:E154)</f>
        <v>4688896.1399999997</v>
      </c>
      <c r="F155" s="347"/>
      <c r="G155" s="347"/>
      <c r="H155" s="347">
        <f>SUM(H99:H154)</f>
        <v>17341359.753871519</v>
      </c>
      <c r="I155" s="347">
        <f>SUM(I99:I154)</f>
        <v>17341359.753871519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4" priority="1" stopIfTrue="1" operator="equal">
      <formula>$I$10</formula>
    </cfRule>
  </conditionalFormatting>
  <conditionalFormatting sqref="C99:C154">
    <cfRule type="cellIs" dxfId="6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P162"/>
  <sheetViews>
    <sheetView view="pageBreakPreview" zoomScale="75" zoomScaleNormal="100" zoomScaleSheetLayoutView="75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3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1239732.4037197519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1239732.4037197519</v>
      </c>
      <c r="O6" s="232"/>
      <c r="P6" s="232"/>
    </row>
    <row r="7" spans="1:16" ht="13.5" thickBot="1">
      <c r="C7" s="431" t="s">
        <v>46</v>
      </c>
      <c r="D7" s="432" t="s">
        <v>208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81</v>
      </c>
      <c r="E9" s="577" t="s">
        <v>352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11456065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10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293745.25641025644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C17" s="472">
        <f>IF(D11= "","-",D11)</f>
        <v>2009</v>
      </c>
      <c r="D17" s="473">
        <v>9403820</v>
      </c>
      <c r="E17" s="474">
        <v>29572</v>
      </c>
      <c r="F17" s="473">
        <v>9374248</v>
      </c>
      <c r="G17" s="474">
        <v>388620</v>
      </c>
      <c r="H17" s="474">
        <v>388620</v>
      </c>
      <c r="I17" s="475">
        <f t="shared" ref="I17:I48" si="0">H17-G17</f>
        <v>0</v>
      </c>
      <c r="J17" s="475"/>
      <c r="K17" s="476">
        <v>388620</v>
      </c>
      <c r="L17" s="477">
        <f t="shared" ref="L17:L48" si="1">IF(K17&lt;&gt;0,+G17-K17,0)</f>
        <v>0</v>
      </c>
      <c r="M17" s="476">
        <v>388620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2010</v>
      </c>
      <c r="D18" s="479">
        <v>12236959</v>
      </c>
      <c r="E18" s="480">
        <v>219045</v>
      </c>
      <c r="F18" s="479">
        <v>12017913</v>
      </c>
      <c r="G18" s="480">
        <v>1953188</v>
      </c>
      <c r="H18" s="481">
        <v>1953188</v>
      </c>
      <c r="I18" s="475">
        <f t="shared" si="0"/>
        <v>0</v>
      </c>
      <c r="J18" s="475"/>
      <c r="K18" s="476">
        <f t="shared" ref="K18:K23" si="4">G18</f>
        <v>1953188</v>
      </c>
      <c r="L18" s="550">
        <f t="shared" si="1"/>
        <v>0</v>
      </c>
      <c r="M18" s="476">
        <f t="shared" ref="M18:M23" si="5">H18</f>
        <v>1953188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2011</v>
      </c>
      <c r="D19" s="479">
        <v>11983531</v>
      </c>
      <c r="E19" s="480">
        <v>239846.03921568627</v>
      </c>
      <c r="F19" s="479">
        <v>11743684.960784314</v>
      </c>
      <c r="G19" s="480">
        <v>2078241.729976739</v>
      </c>
      <c r="H19" s="481">
        <v>2078241.729976739</v>
      </c>
      <c r="I19" s="475">
        <f t="shared" si="0"/>
        <v>0</v>
      </c>
      <c r="J19" s="475"/>
      <c r="K19" s="476">
        <f t="shared" si="4"/>
        <v>2078241.729976739</v>
      </c>
      <c r="L19" s="550">
        <f t="shared" si="1"/>
        <v>0</v>
      </c>
      <c r="M19" s="476">
        <f t="shared" si="5"/>
        <v>2078241.729976739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2012</v>
      </c>
      <c r="D20" s="479">
        <v>11743684.960784314</v>
      </c>
      <c r="E20" s="480">
        <v>235233.61538461538</v>
      </c>
      <c r="F20" s="479">
        <v>11508451.345399698</v>
      </c>
      <c r="G20" s="480">
        <v>1837287.5395832672</v>
      </c>
      <c r="H20" s="481">
        <v>1837287.5395832672</v>
      </c>
      <c r="I20" s="475">
        <f t="shared" si="0"/>
        <v>0</v>
      </c>
      <c r="J20" s="475"/>
      <c r="K20" s="476">
        <f t="shared" si="4"/>
        <v>1837287.5395832672</v>
      </c>
      <c r="L20" s="550">
        <f t="shared" si="1"/>
        <v>0</v>
      </c>
      <c r="M20" s="476">
        <f t="shared" si="5"/>
        <v>1837287.5395832672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2013</v>
      </c>
      <c r="D21" s="479">
        <v>11508451.345399698</v>
      </c>
      <c r="E21" s="480">
        <v>235233.61538461538</v>
      </c>
      <c r="F21" s="479">
        <v>11273217.730015082</v>
      </c>
      <c r="G21" s="480">
        <v>1845125.3182548014</v>
      </c>
      <c r="H21" s="481">
        <v>1845125.3182548014</v>
      </c>
      <c r="I21" s="475">
        <v>0</v>
      </c>
      <c r="J21" s="475"/>
      <c r="K21" s="476">
        <f t="shared" si="4"/>
        <v>1845125.3182548014</v>
      </c>
      <c r="L21" s="550">
        <f t="shared" ref="L21:L26" si="7">IF(K21&lt;&gt;0,+G21-K21,0)</f>
        <v>0</v>
      </c>
      <c r="M21" s="476">
        <f t="shared" si="5"/>
        <v>1845125.3182548014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 ht="12.5">
      <c r="B22" s="160" t="str">
        <f t="shared" si="6"/>
        <v/>
      </c>
      <c r="C22" s="472">
        <f>IF(D11="","-",+C21+1)</f>
        <v>2014</v>
      </c>
      <c r="D22" s="479">
        <v>11273217.730015082</v>
      </c>
      <c r="E22" s="480">
        <v>235233.61538461538</v>
      </c>
      <c r="F22" s="479">
        <v>11037984.114630466</v>
      </c>
      <c r="G22" s="480">
        <v>1754708.9063952654</v>
      </c>
      <c r="H22" s="481">
        <v>1754708.9063952654</v>
      </c>
      <c r="I22" s="475">
        <v>0</v>
      </c>
      <c r="J22" s="475"/>
      <c r="K22" s="476">
        <f t="shared" si="4"/>
        <v>1754708.9063952654</v>
      </c>
      <c r="L22" s="550">
        <f t="shared" si="7"/>
        <v>0</v>
      </c>
      <c r="M22" s="476">
        <f t="shared" si="5"/>
        <v>1754708.9063952654</v>
      </c>
      <c r="N22" s="478">
        <f t="shared" si="8"/>
        <v>0</v>
      </c>
      <c r="O22" s="478">
        <f t="shared" si="9"/>
        <v>0</v>
      </c>
      <c r="P22" s="242"/>
    </row>
    <row r="23" spans="2:16" ht="12.5">
      <c r="B23" s="160" t="str">
        <f t="shared" si="6"/>
        <v>IU</v>
      </c>
      <c r="C23" s="472">
        <f>IF(D11="","-",+C22+1)</f>
        <v>2015</v>
      </c>
      <c r="D23" s="479">
        <v>10261901.114630468</v>
      </c>
      <c r="E23" s="480">
        <v>220308.94230769231</v>
      </c>
      <c r="F23" s="479">
        <v>10041592.172322776</v>
      </c>
      <c r="G23" s="480">
        <v>1604759.8916783908</v>
      </c>
      <c r="H23" s="481">
        <v>1604759.8916783908</v>
      </c>
      <c r="I23" s="475">
        <v>0</v>
      </c>
      <c r="J23" s="475"/>
      <c r="K23" s="476">
        <f t="shared" si="4"/>
        <v>1604759.8916783908</v>
      </c>
      <c r="L23" s="550">
        <f t="shared" si="7"/>
        <v>0</v>
      </c>
      <c r="M23" s="476">
        <f t="shared" si="5"/>
        <v>1604759.8916783908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2016</v>
      </c>
      <c r="D24" s="479">
        <v>10041592.172322776</v>
      </c>
      <c r="E24" s="480">
        <v>220308.94230769231</v>
      </c>
      <c r="F24" s="479">
        <v>9821283.2300150841</v>
      </c>
      <c r="G24" s="480">
        <v>1508464.8564289983</v>
      </c>
      <c r="H24" s="481">
        <v>1508464.8564289983</v>
      </c>
      <c r="I24" s="475">
        <f t="shared" si="0"/>
        <v>0</v>
      </c>
      <c r="J24" s="475"/>
      <c r="K24" s="476">
        <f t="shared" ref="K24:K29" si="10">G24</f>
        <v>1508464.8564289983</v>
      </c>
      <c r="L24" s="550">
        <f t="shared" si="7"/>
        <v>0</v>
      </c>
      <c r="M24" s="476">
        <f t="shared" ref="M24:M29" si="11">H24</f>
        <v>1508464.8564289983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2017</v>
      </c>
      <c r="D25" s="479">
        <v>9821283.2300150841</v>
      </c>
      <c r="E25" s="480">
        <v>249044.89130434784</v>
      </c>
      <c r="F25" s="479">
        <v>9572238.3387107365</v>
      </c>
      <c r="G25" s="480">
        <v>1467214.2093174371</v>
      </c>
      <c r="H25" s="481">
        <v>1467214.2093174371</v>
      </c>
      <c r="I25" s="475">
        <f t="shared" si="0"/>
        <v>0</v>
      </c>
      <c r="J25" s="475"/>
      <c r="K25" s="476">
        <f t="shared" si="10"/>
        <v>1467214.2093174371</v>
      </c>
      <c r="L25" s="550">
        <f t="shared" si="7"/>
        <v>0</v>
      </c>
      <c r="M25" s="476">
        <f t="shared" si="11"/>
        <v>1467214.2093174371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2018</v>
      </c>
      <c r="D26" s="479">
        <v>9572238.3387107365</v>
      </c>
      <c r="E26" s="480">
        <v>254579.22222222222</v>
      </c>
      <c r="F26" s="479">
        <v>9317659.1164885145</v>
      </c>
      <c r="G26" s="480">
        <v>1385696.2768787597</v>
      </c>
      <c r="H26" s="481">
        <v>1385696.2768787597</v>
      </c>
      <c r="I26" s="475">
        <f t="shared" si="0"/>
        <v>0</v>
      </c>
      <c r="J26" s="475"/>
      <c r="K26" s="476">
        <f t="shared" si="10"/>
        <v>1385696.2768787597</v>
      </c>
      <c r="L26" s="550">
        <f t="shared" si="7"/>
        <v>0</v>
      </c>
      <c r="M26" s="476">
        <f t="shared" si="11"/>
        <v>1385696.2768787597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2019</v>
      </c>
      <c r="D27" s="479">
        <v>9317659.1164885145</v>
      </c>
      <c r="E27" s="480">
        <v>286401.625</v>
      </c>
      <c r="F27" s="479">
        <v>9031257.4914885145</v>
      </c>
      <c r="G27" s="480">
        <v>1310790.7332032048</v>
      </c>
      <c r="H27" s="481">
        <v>1310790.7332032048</v>
      </c>
      <c r="I27" s="475">
        <f t="shared" si="0"/>
        <v>0</v>
      </c>
      <c r="J27" s="475"/>
      <c r="K27" s="476">
        <f t="shared" si="10"/>
        <v>1310790.7332032048</v>
      </c>
      <c r="L27" s="550">
        <f t="shared" ref="L27" si="12">IF(K27&lt;&gt;0,+G27-K27,0)</f>
        <v>0</v>
      </c>
      <c r="M27" s="476">
        <f t="shared" si="11"/>
        <v>1310790.7332032048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 ht="12.5">
      <c r="B28" s="160" t="str">
        <f t="shared" si="6"/>
        <v>IU</v>
      </c>
      <c r="C28" s="472">
        <f>IF(D11="","-",+C27+1)</f>
        <v>2020</v>
      </c>
      <c r="D28" s="479">
        <v>9012688</v>
      </c>
      <c r="E28" s="480">
        <v>272763.45238095237</v>
      </c>
      <c r="F28" s="479">
        <v>8739924.5476190485</v>
      </c>
      <c r="G28" s="480">
        <v>1231446.9312681679</v>
      </c>
      <c r="H28" s="481">
        <v>1231446.9312681679</v>
      </c>
      <c r="I28" s="475">
        <f t="shared" si="0"/>
        <v>0</v>
      </c>
      <c r="J28" s="475"/>
      <c r="K28" s="476">
        <f t="shared" si="10"/>
        <v>1231446.9312681679</v>
      </c>
      <c r="L28" s="550">
        <f t="shared" ref="L28" si="15">IF(K28&lt;&gt;0,+G28-K28,0)</f>
        <v>0</v>
      </c>
      <c r="M28" s="476">
        <f t="shared" si="11"/>
        <v>1231446.9312681679</v>
      </c>
      <c r="N28" s="478">
        <f t="shared" si="2"/>
        <v>0</v>
      </c>
      <c r="O28" s="478">
        <f t="shared" si="3"/>
        <v>0</v>
      </c>
      <c r="P28" s="242"/>
    </row>
    <row r="29" spans="2:16" ht="12.5">
      <c r="B29" s="160" t="str">
        <f t="shared" si="6"/>
        <v>IU</v>
      </c>
      <c r="C29" s="472">
        <f>IF(D11="","-",+C28+1)</f>
        <v>2021</v>
      </c>
      <c r="D29" s="479">
        <v>8758494.0391075611</v>
      </c>
      <c r="E29" s="480">
        <v>266420.11627906974</v>
      </c>
      <c r="F29" s="479">
        <v>8492073.9228284918</v>
      </c>
      <c r="G29" s="480">
        <v>1182049.5546801805</v>
      </c>
      <c r="H29" s="481">
        <v>1182049.5546801805</v>
      </c>
      <c r="I29" s="475">
        <f t="shared" si="0"/>
        <v>0</v>
      </c>
      <c r="J29" s="475"/>
      <c r="K29" s="476">
        <f t="shared" si="10"/>
        <v>1182049.5546801805</v>
      </c>
      <c r="L29" s="550">
        <f t="shared" ref="L29" si="16">IF(K29&lt;&gt;0,+G29-K29,0)</f>
        <v>0</v>
      </c>
      <c r="M29" s="476">
        <f t="shared" si="11"/>
        <v>1182049.5546801805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/>
      </c>
      <c r="C30" s="472">
        <f>IF(D11="","-",+C29+1)</f>
        <v>2022</v>
      </c>
      <c r="D30" s="479">
        <v>8492073.9228284918</v>
      </c>
      <c r="E30" s="480">
        <v>272763.45238095237</v>
      </c>
      <c r="F30" s="479">
        <v>8219310.4704475394</v>
      </c>
      <c r="G30" s="480">
        <v>1158897.5538764906</v>
      </c>
      <c r="H30" s="481">
        <v>1158897.5538764906</v>
      </c>
      <c r="I30" s="475">
        <f t="shared" si="0"/>
        <v>0</v>
      </c>
      <c r="J30" s="475"/>
      <c r="K30" s="476">
        <f t="shared" ref="K30" si="17">G30</f>
        <v>1158897.5538764906</v>
      </c>
      <c r="L30" s="550">
        <f t="shared" ref="L30" si="18">IF(K30&lt;&gt;0,+G30-K30,0)</f>
        <v>0</v>
      </c>
      <c r="M30" s="476">
        <f t="shared" ref="M30" si="19">H30</f>
        <v>1158897.5538764906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8219310.4704475394</v>
      </c>
      <c r="E31" s="484">
        <f>IF(+I14&lt;F30,I14,D31)</f>
        <v>293745.25641025644</v>
      </c>
      <c r="F31" s="485">
        <f t="shared" ref="F31:F72" si="20">+D31-E31</f>
        <v>7925565.2140372833</v>
      </c>
      <c r="G31" s="486">
        <f t="shared" ref="G31:G72" si="21">+I$12*F31+E31</f>
        <v>1239732.4037197519</v>
      </c>
      <c r="H31" s="455">
        <f t="shared" ref="H31:H72" si="22">+I$13*F31+E31</f>
        <v>1239732.4037197519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7925565.2140372833</v>
      </c>
      <c r="E32" s="484">
        <f>IF(+I14&lt;F31,I14,D32)</f>
        <v>293745.25641025644</v>
      </c>
      <c r="F32" s="485">
        <f t="shared" si="20"/>
        <v>7631819.9576270273</v>
      </c>
      <c r="G32" s="486">
        <f t="shared" si="21"/>
        <v>1204671.2781542123</v>
      </c>
      <c r="H32" s="455">
        <f t="shared" si="22"/>
        <v>1204671.2781542123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7631819.9576270273</v>
      </c>
      <c r="E33" s="484">
        <f>IF(+I14&lt;F32,I14,D33)</f>
        <v>293745.25641025644</v>
      </c>
      <c r="F33" s="485">
        <f t="shared" si="20"/>
        <v>7338074.7012167713</v>
      </c>
      <c r="G33" s="486">
        <f t="shared" si="21"/>
        <v>1169610.1525886725</v>
      </c>
      <c r="H33" s="455">
        <f t="shared" si="22"/>
        <v>1169610.1525886725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7338074.7012167713</v>
      </c>
      <c r="E34" s="484">
        <f>IF(+I14&lt;F33,I14,D34)</f>
        <v>293745.25641025644</v>
      </c>
      <c r="F34" s="485">
        <f t="shared" si="20"/>
        <v>7044329.4448065152</v>
      </c>
      <c r="G34" s="486">
        <f t="shared" si="21"/>
        <v>1134549.0270231329</v>
      </c>
      <c r="H34" s="455">
        <f t="shared" si="22"/>
        <v>1134549.0270231329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7044329.4448065152</v>
      </c>
      <c r="E35" s="484">
        <f>IF(+I14&lt;F34,I14,D35)</f>
        <v>293745.25641025644</v>
      </c>
      <c r="F35" s="485">
        <f t="shared" si="20"/>
        <v>6750584.1883962592</v>
      </c>
      <c r="G35" s="486">
        <f t="shared" si="21"/>
        <v>1099487.9014575933</v>
      </c>
      <c r="H35" s="455">
        <f t="shared" si="22"/>
        <v>1099487.9014575933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6750584.1883962592</v>
      </c>
      <c r="E36" s="484">
        <f>IF(+I14&lt;F35,I14,D36)</f>
        <v>293745.25641025644</v>
      </c>
      <c r="F36" s="485">
        <f t="shared" si="20"/>
        <v>6456838.9319860032</v>
      </c>
      <c r="G36" s="486">
        <f t="shared" si="21"/>
        <v>1064426.7758920535</v>
      </c>
      <c r="H36" s="455">
        <f t="shared" si="22"/>
        <v>1064426.7758920535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6456838.9319860032</v>
      </c>
      <c r="E37" s="484">
        <f>IF(+I14&lt;F36,I14,D37)</f>
        <v>293745.25641025644</v>
      </c>
      <c r="F37" s="485">
        <f t="shared" si="20"/>
        <v>6163093.6755757472</v>
      </c>
      <c r="G37" s="486">
        <f t="shared" si="21"/>
        <v>1029365.6503265139</v>
      </c>
      <c r="H37" s="455">
        <f t="shared" si="22"/>
        <v>1029365.6503265139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6163093.6755757472</v>
      </c>
      <c r="E38" s="484">
        <f>IF(+I14&lt;F37,I14,D38)</f>
        <v>293745.25641025644</v>
      </c>
      <c r="F38" s="485">
        <f t="shared" si="20"/>
        <v>5869348.4191654911</v>
      </c>
      <c r="G38" s="486">
        <f t="shared" si="21"/>
        <v>994304.52476097434</v>
      </c>
      <c r="H38" s="455">
        <f t="shared" si="22"/>
        <v>994304.52476097434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5869348.4191654911</v>
      </c>
      <c r="E39" s="484">
        <f>IF(+I14&lt;F38,I14,D39)</f>
        <v>293745.25641025644</v>
      </c>
      <c r="F39" s="485">
        <f t="shared" si="20"/>
        <v>5575603.1627552351</v>
      </c>
      <c r="G39" s="486">
        <f t="shared" si="21"/>
        <v>959243.39919543453</v>
      </c>
      <c r="H39" s="455">
        <f t="shared" si="22"/>
        <v>959243.39919543453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5575603.1627552351</v>
      </c>
      <c r="E40" s="484">
        <f>IF(+I14&lt;F39,I14,D40)</f>
        <v>293745.25641025644</v>
      </c>
      <c r="F40" s="485">
        <f t="shared" si="20"/>
        <v>5281857.9063449791</v>
      </c>
      <c r="G40" s="486">
        <f t="shared" si="21"/>
        <v>924182.27362989495</v>
      </c>
      <c r="H40" s="455">
        <f t="shared" si="22"/>
        <v>924182.27362989495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5281857.9063449791</v>
      </c>
      <c r="E41" s="484">
        <f>IF(+I14&lt;F40,I14,D41)</f>
        <v>293745.25641025644</v>
      </c>
      <c r="F41" s="485">
        <f t="shared" si="20"/>
        <v>4988112.649934723</v>
      </c>
      <c r="G41" s="486">
        <f t="shared" si="21"/>
        <v>889121.14806435537</v>
      </c>
      <c r="H41" s="455">
        <f t="shared" si="22"/>
        <v>889121.14806435537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4988112.649934723</v>
      </c>
      <c r="E42" s="484">
        <f>IF(+I14&lt;F41,I14,D42)</f>
        <v>293745.25641025644</v>
      </c>
      <c r="F42" s="485">
        <f t="shared" si="20"/>
        <v>4694367.393524467</v>
      </c>
      <c r="G42" s="486">
        <f t="shared" si="21"/>
        <v>854060.02249881555</v>
      </c>
      <c r="H42" s="455">
        <f t="shared" si="22"/>
        <v>854060.02249881555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4694367.393524467</v>
      </c>
      <c r="E43" s="484">
        <f>IF(+I14&lt;F42,I14,D43)</f>
        <v>293745.25641025644</v>
      </c>
      <c r="F43" s="485">
        <f t="shared" si="20"/>
        <v>4400622.137114211</v>
      </c>
      <c r="G43" s="486">
        <f t="shared" si="21"/>
        <v>818998.89693327597</v>
      </c>
      <c r="H43" s="455">
        <f t="shared" si="22"/>
        <v>818998.89693327597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4400622.137114211</v>
      </c>
      <c r="E44" s="484">
        <f>IF(+I14&lt;F43,I14,D44)</f>
        <v>293745.25641025644</v>
      </c>
      <c r="F44" s="485">
        <f t="shared" si="20"/>
        <v>4106876.8807039545</v>
      </c>
      <c r="G44" s="486">
        <f t="shared" si="21"/>
        <v>783937.77136773628</v>
      </c>
      <c r="H44" s="455">
        <f t="shared" si="22"/>
        <v>783937.77136773628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4106876.8807039545</v>
      </c>
      <c r="E45" s="484">
        <f>IF(+I14&lt;F44,I14,D45)</f>
        <v>293745.25641025644</v>
      </c>
      <c r="F45" s="485">
        <f t="shared" si="20"/>
        <v>3813131.624293698</v>
      </c>
      <c r="G45" s="486">
        <f t="shared" si="21"/>
        <v>748876.64580219658</v>
      </c>
      <c r="H45" s="455">
        <f t="shared" si="22"/>
        <v>748876.64580219658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3813131.624293698</v>
      </c>
      <c r="E46" s="484">
        <f>IF(+I14&lt;F45,I14,D46)</f>
        <v>293745.25641025644</v>
      </c>
      <c r="F46" s="485">
        <f t="shared" si="20"/>
        <v>3519386.3678834415</v>
      </c>
      <c r="G46" s="486">
        <f t="shared" si="21"/>
        <v>713815.52023665688</v>
      </c>
      <c r="H46" s="455">
        <f t="shared" si="22"/>
        <v>713815.52023665688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3519386.3678834415</v>
      </c>
      <c r="E47" s="484">
        <f>IF(+I14&lt;F46,I14,D47)</f>
        <v>293745.25641025644</v>
      </c>
      <c r="F47" s="485">
        <f t="shared" si="20"/>
        <v>3225641.111473185</v>
      </c>
      <c r="G47" s="486">
        <f t="shared" si="21"/>
        <v>678754.39467111719</v>
      </c>
      <c r="H47" s="455">
        <f t="shared" si="22"/>
        <v>678754.39467111719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3225641.111473185</v>
      </c>
      <c r="E48" s="484">
        <f>IF(+I14&lt;F47,I14,D48)</f>
        <v>293745.25641025644</v>
      </c>
      <c r="F48" s="485">
        <f t="shared" si="20"/>
        <v>2931895.8550629285</v>
      </c>
      <c r="G48" s="486">
        <f t="shared" si="21"/>
        <v>643693.26910557738</v>
      </c>
      <c r="H48" s="455">
        <f t="shared" si="22"/>
        <v>643693.26910557738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2931895.8550629285</v>
      </c>
      <c r="E49" s="484">
        <f>IF(+I14&lt;F48,I14,D49)</f>
        <v>293745.25641025644</v>
      </c>
      <c r="F49" s="485">
        <f t="shared" si="20"/>
        <v>2638150.598652672</v>
      </c>
      <c r="G49" s="486">
        <f t="shared" si="21"/>
        <v>608632.1435400378</v>
      </c>
      <c r="H49" s="455">
        <f t="shared" si="22"/>
        <v>608632.1435400378</v>
      </c>
      <c r="I49" s="475">
        <f t="shared" ref="I49:I72" si="23">H303-G303</f>
        <v>0</v>
      </c>
      <c r="J49" s="475"/>
      <c r="K49" s="487"/>
      <c r="L49" s="478">
        <f t="shared" ref="L49:L72" si="24">IF(K303&lt;&gt;0,+G303-K303,0)</f>
        <v>0</v>
      </c>
      <c r="M49" s="487"/>
      <c r="N49" s="478">
        <f t="shared" ref="N49:N72" si="25">IF(M303&lt;&gt;0,+H303-M303,0)</f>
        <v>0</v>
      </c>
      <c r="O49" s="478">
        <f t="shared" ref="O49:O72" si="26">+N303-L303</f>
        <v>0</v>
      </c>
      <c r="P49" s="242"/>
    </row>
    <row r="50" spans="2:16" ht="12.5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2638150.598652672</v>
      </c>
      <c r="E50" s="484">
        <f>IF(+I14&lt;F49,I14,D50)</f>
        <v>293745.25641025644</v>
      </c>
      <c r="F50" s="485">
        <f t="shared" si="20"/>
        <v>2344405.3422424155</v>
      </c>
      <c r="G50" s="486">
        <f t="shared" si="21"/>
        <v>573571.01797449798</v>
      </c>
      <c r="H50" s="455">
        <f t="shared" si="22"/>
        <v>573571.01797449798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2"/>
    </row>
    <row r="51" spans="2:16" ht="12.5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2344405.3422424155</v>
      </c>
      <c r="E51" s="484">
        <f>IF(+I14&lt;F50,I14,D51)</f>
        <v>293745.25641025644</v>
      </c>
      <c r="F51" s="485">
        <f t="shared" si="20"/>
        <v>2050660.085832159</v>
      </c>
      <c r="G51" s="486">
        <f t="shared" si="21"/>
        <v>538509.89240895829</v>
      </c>
      <c r="H51" s="455">
        <f t="shared" si="22"/>
        <v>538509.89240895829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2"/>
    </row>
    <row r="52" spans="2:16" ht="12.5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2050660.085832159</v>
      </c>
      <c r="E52" s="484">
        <f>IF(+I14&lt;F51,I14,D52)</f>
        <v>293745.25641025644</v>
      </c>
      <c r="F52" s="485">
        <f t="shared" si="20"/>
        <v>1756914.8294219025</v>
      </c>
      <c r="G52" s="486">
        <f t="shared" si="21"/>
        <v>503448.76684341859</v>
      </c>
      <c r="H52" s="455">
        <f t="shared" si="22"/>
        <v>503448.76684341859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2"/>
    </row>
    <row r="53" spans="2:16" ht="12.5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1756914.8294219025</v>
      </c>
      <c r="E53" s="484">
        <f>IF(+I14&lt;F52,I14,D53)</f>
        <v>293745.25641025644</v>
      </c>
      <c r="F53" s="485">
        <f t="shared" si="20"/>
        <v>1463169.573011646</v>
      </c>
      <c r="G53" s="486">
        <f t="shared" si="21"/>
        <v>468387.64127787889</v>
      </c>
      <c r="H53" s="455">
        <f t="shared" si="22"/>
        <v>468387.64127787889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2"/>
    </row>
    <row r="54" spans="2:16" ht="12.5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1463169.573011646</v>
      </c>
      <c r="E54" s="484">
        <f>IF(+I14&lt;F53,I14,D54)</f>
        <v>293745.25641025644</v>
      </c>
      <c r="F54" s="485">
        <f t="shared" si="20"/>
        <v>1169424.3166013896</v>
      </c>
      <c r="G54" s="486">
        <f t="shared" si="21"/>
        <v>433326.51571233914</v>
      </c>
      <c r="H54" s="455">
        <f t="shared" si="22"/>
        <v>433326.51571233914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2"/>
    </row>
    <row r="55" spans="2:16" ht="12.5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1169424.3166013896</v>
      </c>
      <c r="E55" s="484">
        <f>IF(+I14&lt;F54,I14,D55)</f>
        <v>293745.25641025644</v>
      </c>
      <c r="F55" s="485">
        <f t="shared" si="20"/>
        <v>875679.06019113306</v>
      </c>
      <c r="G55" s="486">
        <f t="shared" si="21"/>
        <v>398265.39014679944</v>
      </c>
      <c r="H55" s="455">
        <f t="shared" si="22"/>
        <v>398265.39014679944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2"/>
    </row>
    <row r="56" spans="2:16" ht="12.5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875679.06019113306</v>
      </c>
      <c r="E56" s="484">
        <f>IF(+I14&lt;F55,I14,D56)</f>
        <v>293745.25641025644</v>
      </c>
      <c r="F56" s="485">
        <f t="shared" si="20"/>
        <v>581933.80378087657</v>
      </c>
      <c r="G56" s="486">
        <f t="shared" si="21"/>
        <v>363204.26458125975</v>
      </c>
      <c r="H56" s="455">
        <f t="shared" si="22"/>
        <v>363204.26458125975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2"/>
    </row>
    <row r="57" spans="2:16" ht="12.5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581933.80378087657</v>
      </c>
      <c r="E57" s="484">
        <f>IF(+I14&lt;F56,I14,D57)</f>
        <v>293745.25641025644</v>
      </c>
      <c r="F57" s="485">
        <f t="shared" si="20"/>
        <v>288188.54737062013</v>
      </c>
      <c r="G57" s="486">
        <f t="shared" si="21"/>
        <v>328143.13901571999</v>
      </c>
      <c r="H57" s="455">
        <f t="shared" si="22"/>
        <v>328143.13901571999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2"/>
    </row>
    <row r="58" spans="2:16" ht="12.5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288188.54737062013</v>
      </c>
      <c r="E58" s="484">
        <f>IF(+I14&lt;F57,I14,D58)</f>
        <v>288188.54737062013</v>
      </c>
      <c r="F58" s="485">
        <f t="shared" si="20"/>
        <v>0</v>
      </c>
      <c r="G58" s="486">
        <f t="shared" si="21"/>
        <v>288188.54737062013</v>
      </c>
      <c r="H58" s="455">
        <f t="shared" si="22"/>
        <v>288188.54737062013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2"/>
    </row>
    <row r="59" spans="2:16" ht="12.5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0</v>
      </c>
      <c r="E59" s="484">
        <f>IF(+I14&lt;F58,I14,D59)</f>
        <v>0</v>
      </c>
      <c r="F59" s="485">
        <f t="shared" si="20"/>
        <v>0</v>
      </c>
      <c r="G59" s="486">
        <f t="shared" si="21"/>
        <v>0</v>
      </c>
      <c r="H59" s="455">
        <f t="shared" si="22"/>
        <v>0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2"/>
    </row>
    <row r="60" spans="2:16" ht="12.5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0"/>
        <v>0</v>
      </c>
      <c r="G60" s="486">
        <f t="shared" si="21"/>
        <v>0</v>
      </c>
      <c r="H60" s="455">
        <f t="shared" si="22"/>
        <v>0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2"/>
    </row>
    <row r="61" spans="2:16" ht="12.5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0"/>
        <v>0</v>
      </c>
      <c r="G61" s="488">
        <f t="shared" si="21"/>
        <v>0</v>
      </c>
      <c r="H61" s="455">
        <f t="shared" si="22"/>
        <v>0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2"/>
    </row>
    <row r="62" spans="2:16" ht="12.5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2"/>
    </row>
    <row r="63" spans="2:16" ht="12.5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2"/>
    </row>
    <row r="64" spans="2:16" ht="12.5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2"/>
    </row>
    <row r="65" spans="2:16" ht="12.5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2"/>
    </row>
    <row r="66" spans="2:16" ht="12.5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2"/>
    </row>
    <row r="67" spans="2:16" ht="12.5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2"/>
    </row>
    <row r="68" spans="2:16" ht="12.5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2"/>
    </row>
    <row r="69" spans="2:16" ht="12.5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2"/>
    </row>
    <row r="70" spans="2:16" ht="12.5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2"/>
    </row>
    <row r="71" spans="2:16" ht="12.5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21"/>
        <v>0</v>
      </c>
      <c r="H72" s="435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2"/>
    </row>
    <row r="73" spans="2:16" ht="12.5">
      <c r="C73" s="346" t="s">
        <v>77</v>
      </c>
      <c r="D73" s="347"/>
      <c r="E73" s="347">
        <f>SUM(E17:E72)</f>
        <v>11456064.999999996</v>
      </c>
      <c r="F73" s="347"/>
      <c r="G73" s="347">
        <f>SUM(G17:G72)</f>
        <v>42160999.875841193</v>
      </c>
      <c r="H73" s="347">
        <f>SUM(H17:H72)</f>
        <v>42160999.875841193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3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1182049.5546801805</v>
      </c>
      <c r="N87" s="508">
        <f>IF(J92&lt;D11,0,VLOOKUP(J92,C17:O72,11))</f>
        <v>1182049.5546801805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1257301.6496546383</v>
      </c>
      <c r="N88" s="512">
        <f>IF(J92&lt;D11,0,VLOOKUP(J92,C99:P154,7))</f>
        <v>1257301.6496546383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WFEC New 138 kV Ties: Sayre to Erick (WFEC) Line &amp; Atoka and Tupelo station work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75252.094974457752</v>
      </c>
      <c r="N89" s="517">
        <f>+N88-N87</f>
        <v>75252.094974457752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TP2006054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11456065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10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279416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2009</v>
      </c>
      <c r="D99" s="473">
        <v>0</v>
      </c>
      <c r="E99" s="480">
        <v>26281</v>
      </c>
      <c r="F99" s="479">
        <v>8804059</v>
      </c>
      <c r="G99" s="537">
        <v>4402030</v>
      </c>
      <c r="H99" s="538">
        <v>669894</v>
      </c>
      <c r="I99" s="539">
        <v>669894</v>
      </c>
      <c r="J99" s="478">
        <f t="shared" ref="J99:J130" si="27">+I99-H99</f>
        <v>0</v>
      </c>
      <c r="K99" s="478"/>
      <c r="L99" s="554">
        <f t="shared" ref="L99:L104" si="28">H99</f>
        <v>669894</v>
      </c>
      <c r="M99" s="477">
        <f t="shared" ref="M99:M130" si="29">IF(L99&lt;&gt;0,+H99-L99,0)</f>
        <v>0</v>
      </c>
      <c r="N99" s="554">
        <f t="shared" ref="N99:N104" si="30">I99</f>
        <v>669894</v>
      </c>
      <c r="O99" s="477">
        <f t="shared" ref="O99:O130" si="31">IF(N99&lt;&gt;0,+I99-N99,0)</f>
        <v>0</v>
      </c>
      <c r="P99" s="477">
        <f t="shared" ref="P99:P130" si="32">+O99-M99</f>
        <v>0</v>
      </c>
    </row>
    <row r="100" spans="1:16" ht="12.5">
      <c r="B100" s="160" t="str">
        <f>IF(D100=F99,"","IU")</f>
        <v>IU</v>
      </c>
      <c r="C100" s="472">
        <f>IF(D93="","-",+C99+1)</f>
        <v>2010</v>
      </c>
      <c r="D100" s="473">
        <v>12205867</v>
      </c>
      <c r="E100" s="480">
        <v>239846</v>
      </c>
      <c r="F100" s="479">
        <v>11966021</v>
      </c>
      <c r="G100" s="479">
        <v>12085944</v>
      </c>
      <c r="H100" s="480">
        <v>2183449.7644146364</v>
      </c>
      <c r="I100" s="481">
        <v>2183449.7644146364</v>
      </c>
      <c r="J100" s="478">
        <f t="shared" si="27"/>
        <v>0</v>
      </c>
      <c r="K100" s="478"/>
      <c r="L100" s="540">
        <f t="shared" si="28"/>
        <v>2183449.7644146364</v>
      </c>
      <c r="M100" s="541">
        <f t="shared" si="29"/>
        <v>0</v>
      </c>
      <c r="N100" s="540">
        <f t="shared" si="30"/>
        <v>2183449.7644146364</v>
      </c>
      <c r="O100" s="478">
        <f t="shared" si="31"/>
        <v>0</v>
      </c>
      <c r="P100" s="478">
        <f t="shared" si="32"/>
        <v>0</v>
      </c>
    </row>
    <row r="101" spans="1:16" ht="12.5">
      <c r="B101" s="160" t="str">
        <f t="shared" ref="B101:B154" si="33">IF(D101=F100,"","IU")</f>
        <v/>
      </c>
      <c r="C101" s="472">
        <f>IF(D93="","-",+C100+1)</f>
        <v>2011</v>
      </c>
      <c r="D101" s="473">
        <v>11966021</v>
      </c>
      <c r="E101" s="480">
        <v>235234</v>
      </c>
      <c r="F101" s="479">
        <v>11730787</v>
      </c>
      <c r="G101" s="479">
        <v>11848404</v>
      </c>
      <c r="H101" s="480">
        <v>1891800.0972614796</v>
      </c>
      <c r="I101" s="481">
        <v>1891800.0972614796</v>
      </c>
      <c r="J101" s="478">
        <f t="shared" si="27"/>
        <v>0</v>
      </c>
      <c r="K101" s="478"/>
      <c r="L101" s="540">
        <f t="shared" si="28"/>
        <v>1891800.0972614796</v>
      </c>
      <c r="M101" s="541">
        <f t="shared" si="29"/>
        <v>0</v>
      </c>
      <c r="N101" s="540">
        <f t="shared" si="30"/>
        <v>1891800.0972614796</v>
      </c>
      <c r="O101" s="478">
        <f t="shared" si="31"/>
        <v>0</v>
      </c>
      <c r="P101" s="478">
        <f t="shared" si="32"/>
        <v>0</v>
      </c>
    </row>
    <row r="102" spans="1:16" ht="12.5">
      <c r="B102" s="160" t="str">
        <f t="shared" si="33"/>
        <v/>
      </c>
      <c r="C102" s="472">
        <f>IF(D93="","-",+C101+1)</f>
        <v>2012</v>
      </c>
      <c r="D102" s="473">
        <v>11730787</v>
      </c>
      <c r="E102" s="480">
        <v>235234</v>
      </c>
      <c r="F102" s="479">
        <v>11495553</v>
      </c>
      <c r="G102" s="479">
        <v>11613170</v>
      </c>
      <c r="H102" s="480">
        <v>1905852.1655461292</v>
      </c>
      <c r="I102" s="481">
        <v>1905852.1655461292</v>
      </c>
      <c r="J102" s="478">
        <v>0</v>
      </c>
      <c r="K102" s="478"/>
      <c r="L102" s="540">
        <f t="shared" si="28"/>
        <v>1905852.1655461292</v>
      </c>
      <c r="M102" s="541">
        <f t="shared" ref="M102:M107" si="34">IF(L102&lt;&gt;0,+H102-L102,0)</f>
        <v>0</v>
      </c>
      <c r="N102" s="540">
        <f t="shared" si="30"/>
        <v>1905852.1655461292</v>
      </c>
      <c r="O102" s="478">
        <f t="shared" ref="O102:O107" si="35">IF(N102&lt;&gt;0,+I102-N102,0)</f>
        <v>0</v>
      </c>
      <c r="P102" s="478">
        <f t="shared" ref="P102:P107" si="36">+O102-M102</f>
        <v>0</v>
      </c>
    </row>
    <row r="103" spans="1:16" ht="12.5">
      <c r="B103" s="160" t="str">
        <f t="shared" si="33"/>
        <v/>
      </c>
      <c r="C103" s="472">
        <f>IF(D93="","-",+C102+1)</f>
        <v>2013</v>
      </c>
      <c r="D103" s="473">
        <v>11495553</v>
      </c>
      <c r="E103" s="480">
        <v>235234</v>
      </c>
      <c r="F103" s="479">
        <v>11260319</v>
      </c>
      <c r="G103" s="479">
        <v>11377936</v>
      </c>
      <c r="H103" s="480">
        <v>1872969.4877104962</v>
      </c>
      <c r="I103" s="481">
        <v>1872969.4877104962</v>
      </c>
      <c r="J103" s="478">
        <v>0</v>
      </c>
      <c r="K103" s="478"/>
      <c r="L103" s="540">
        <f t="shared" si="28"/>
        <v>1872969.4877104962</v>
      </c>
      <c r="M103" s="541">
        <f t="shared" si="34"/>
        <v>0</v>
      </c>
      <c r="N103" s="540">
        <f t="shared" si="30"/>
        <v>1872969.4877104962</v>
      </c>
      <c r="O103" s="478">
        <f t="shared" si="35"/>
        <v>0</v>
      </c>
      <c r="P103" s="478">
        <f t="shared" si="36"/>
        <v>0</v>
      </c>
    </row>
    <row r="104" spans="1:16" ht="12.5">
      <c r="B104" s="160" t="str">
        <f t="shared" si="33"/>
        <v>IU</v>
      </c>
      <c r="C104" s="472">
        <f>IF(D93="","-",+C103+1)</f>
        <v>2014</v>
      </c>
      <c r="D104" s="473">
        <v>10484236</v>
      </c>
      <c r="E104" s="480">
        <v>220309</v>
      </c>
      <c r="F104" s="479">
        <v>10263927</v>
      </c>
      <c r="G104" s="479">
        <v>10374081.5</v>
      </c>
      <c r="H104" s="480">
        <v>1678862.4521722798</v>
      </c>
      <c r="I104" s="481">
        <v>1678862.4521722798</v>
      </c>
      <c r="J104" s="478">
        <v>0</v>
      </c>
      <c r="K104" s="478"/>
      <c r="L104" s="540">
        <f t="shared" si="28"/>
        <v>1678862.4521722798</v>
      </c>
      <c r="M104" s="541">
        <f t="shared" si="34"/>
        <v>0</v>
      </c>
      <c r="N104" s="540">
        <f t="shared" si="30"/>
        <v>1678862.4521722798</v>
      </c>
      <c r="O104" s="478">
        <f t="shared" si="35"/>
        <v>0</v>
      </c>
      <c r="P104" s="478">
        <f t="shared" si="36"/>
        <v>0</v>
      </c>
    </row>
    <row r="105" spans="1:16" ht="12.5">
      <c r="B105" s="160" t="str">
        <f t="shared" si="33"/>
        <v/>
      </c>
      <c r="C105" s="472">
        <f>IF(D93="","-",+C104+1)</f>
        <v>2015</v>
      </c>
      <c r="D105" s="473">
        <v>10263927</v>
      </c>
      <c r="E105" s="480">
        <v>220309</v>
      </c>
      <c r="F105" s="479">
        <v>10043618</v>
      </c>
      <c r="G105" s="479">
        <v>10153772.5</v>
      </c>
      <c r="H105" s="480">
        <v>1605709.6172709188</v>
      </c>
      <c r="I105" s="481">
        <v>1605709.6172709188</v>
      </c>
      <c r="J105" s="478">
        <f t="shared" si="27"/>
        <v>0</v>
      </c>
      <c r="K105" s="478"/>
      <c r="L105" s="540">
        <f t="shared" ref="L105:L110" si="37">H105</f>
        <v>1605709.6172709188</v>
      </c>
      <c r="M105" s="541">
        <f t="shared" si="34"/>
        <v>0</v>
      </c>
      <c r="N105" s="540">
        <f t="shared" ref="N105:N110" si="38">I105</f>
        <v>1605709.6172709188</v>
      </c>
      <c r="O105" s="478">
        <f t="shared" si="35"/>
        <v>0</v>
      </c>
      <c r="P105" s="478">
        <f t="shared" si="36"/>
        <v>0</v>
      </c>
    </row>
    <row r="106" spans="1:16" ht="12.5">
      <c r="B106" s="160" t="str">
        <f t="shared" si="33"/>
        <v/>
      </c>
      <c r="C106" s="472">
        <f>IF(D93="","-",+C105+1)</f>
        <v>2016</v>
      </c>
      <c r="D106" s="473">
        <v>10043618</v>
      </c>
      <c r="E106" s="480">
        <v>249045</v>
      </c>
      <c r="F106" s="479">
        <v>9794573</v>
      </c>
      <c r="G106" s="479">
        <v>9919095.5</v>
      </c>
      <c r="H106" s="480">
        <v>1527772.6245386968</v>
      </c>
      <c r="I106" s="481">
        <v>1527772.6245386968</v>
      </c>
      <c r="J106" s="478">
        <f t="shared" si="27"/>
        <v>0</v>
      </c>
      <c r="K106" s="478"/>
      <c r="L106" s="540">
        <f t="shared" si="37"/>
        <v>1527772.6245386968</v>
      </c>
      <c r="M106" s="541">
        <f t="shared" si="34"/>
        <v>0</v>
      </c>
      <c r="N106" s="540">
        <f t="shared" si="38"/>
        <v>1527772.6245386968</v>
      </c>
      <c r="O106" s="478">
        <f t="shared" si="35"/>
        <v>0</v>
      </c>
      <c r="P106" s="478">
        <f t="shared" si="36"/>
        <v>0</v>
      </c>
    </row>
    <row r="107" spans="1:16" ht="12.5">
      <c r="B107" s="160" t="str">
        <f t="shared" si="33"/>
        <v/>
      </c>
      <c r="C107" s="472">
        <f>IF(D93="","-",+C106+1)</f>
        <v>2017</v>
      </c>
      <c r="D107" s="473">
        <v>9794573</v>
      </c>
      <c r="E107" s="480">
        <v>249045</v>
      </c>
      <c r="F107" s="479">
        <v>9545528</v>
      </c>
      <c r="G107" s="479">
        <v>9670050.5</v>
      </c>
      <c r="H107" s="480">
        <v>1475715.2889659985</v>
      </c>
      <c r="I107" s="481">
        <v>1475715.2889659985</v>
      </c>
      <c r="J107" s="478">
        <f t="shared" si="27"/>
        <v>0</v>
      </c>
      <c r="K107" s="478"/>
      <c r="L107" s="540">
        <f t="shared" si="37"/>
        <v>1475715.2889659985</v>
      </c>
      <c r="M107" s="541">
        <f t="shared" si="34"/>
        <v>0</v>
      </c>
      <c r="N107" s="540">
        <f t="shared" si="38"/>
        <v>1475715.2889659985</v>
      </c>
      <c r="O107" s="478">
        <f t="shared" si="35"/>
        <v>0</v>
      </c>
      <c r="P107" s="478">
        <f t="shared" si="36"/>
        <v>0</v>
      </c>
    </row>
    <row r="108" spans="1:16" ht="12.5">
      <c r="B108" s="160" t="str">
        <f t="shared" si="33"/>
        <v/>
      </c>
      <c r="C108" s="472">
        <f>IF(D93="","-",+C107+1)</f>
        <v>2018</v>
      </c>
      <c r="D108" s="473">
        <v>9545528</v>
      </c>
      <c r="E108" s="480">
        <v>266420</v>
      </c>
      <c r="F108" s="479">
        <v>9279108</v>
      </c>
      <c r="G108" s="479">
        <v>9412318</v>
      </c>
      <c r="H108" s="480">
        <v>1233399.824885203</v>
      </c>
      <c r="I108" s="481">
        <v>1233399.824885203</v>
      </c>
      <c r="J108" s="478">
        <f t="shared" si="27"/>
        <v>0</v>
      </c>
      <c r="K108" s="478"/>
      <c r="L108" s="540">
        <f t="shared" si="37"/>
        <v>1233399.824885203</v>
      </c>
      <c r="M108" s="541">
        <f t="shared" ref="M108" si="39">IF(L108&lt;&gt;0,+H108-L108,0)</f>
        <v>0</v>
      </c>
      <c r="N108" s="540">
        <f t="shared" si="38"/>
        <v>1233399.824885203</v>
      </c>
      <c r="O108" s="478">
        <f t="shared" ref="O108" si="40">IF(N108&lt;&gt;0,+I108-N108,0)</f>
        <v>0</v>
      </c>
      <c r="P108" s="478">
        <f t="shared" ref="P108" si="41">+O108-M108</f>
        <v>0</v>
      </c>
    </row>
    <row r="109" spans="1:16" ht="12.5">
      <c r="B109" s="160" t="str">
        <f t="shared" si="33"/>
        <v/>
      </c>
      <c r="C109" s="472">
        <f>IF(D93="","-",+C108+1)</f>
        <v>2019</v>
      </c>
      <c r="D109" s="473">
        <v>9279108</v>
      </c>
      <c r="E109" s="480">
        <v>279416</v>
      </c>
      <c r="F109" s="479">
        <v>8999692</v>
      </c>
      <c r="G109" s="479">
        <v>9139400</v>
      </c>
      <c r="H109" s="480">
        <v>1221816.3299613127</v>
      </c>
      <c r="I109" s="481">
        <v>1221816.3299613127</v>
      </c>
      <c r="J109" s="478">
        <f t="shared" si="27"/>
        <v>0</v>
      </c>
      <c r="K109" s="478"/>
      <c r="L109" s="540">
        <f t="shared" si="37"/>
        <v>1221816.3299613127</v>
      </c>
      <c r="M109" s="541">
        <f t="shared" ref="M109:M110" si="42">IF(L109&lt;&gt;0,+H109-L109,0)</f>
        <v>0</v>
      </c>
      <c r="N109" s="540">
        <f t="shared" si="38"/>
        <v>1221816.3299613127</v>
      </c>
      <c r="O109" s="478">
        <f t="shared" si="31"/>
        <v>0</v>
      </c>
      <c r="P109" s="478">
        <f t="shared" si="32"/>
        <v>0</v>
      </c>
    </row>
    <row r="110" spans="1:16" ht="12.5">
      <c r="B110" s="160" t="str">
        <f t="shared" si="33"/>
        <v/>
      </c>
      <c r="C110" s="472">
        <f>IF(D93="","-",+C109+1)</f>
        <v>2020</v>
      </c>
      <c r="D110" s="473">
        <v>8999692</v>
      </c>
      <c r="E110" s="480">
        <v>266420</v>
      </c>
      <c r="F110" s="479">
        <v>8733272</v>
      </c>
      <c r="G110" s="479">
        <v>8866482</v>
      </c>
      <c r="H110" s="480">
        <v>1288700.9982176959</v>
      </c>
      <c r="I110" s="481">
        <v>1288700.9982176959</v>
      </c>
      <c r="J110" s="478">
        <f t="shared" si="27"/>
        <v>0</v>
      </c>
      <c r="K110" s="478"/>
      <c r="L110" s="540">
        <f t="shared" si="37"/>
        <v>1288700.9982176959</v>
      </c>
      <c r="M110" s="541">
        <f t="shared" si="42"/>
        <v>0</v>
      </c>
      <c r="N110" s="540">
        <f t="shared" si="38"/>
        <v>1288700.9982176959</v>
      </c>
      <c r="O110" s="478">
        <f t="shared" si="31"/>
        <v>0</v>
      </c>
      <c r="P110" s="478">
        <f t="shared" si="32"/>
        <v>0</v>
      </c>
    </row>
    <row r="111" spans="1:16" ht="12.5">
      <c r="B111" s="160" t="str">
        <f t="shared" si="33"/>
        <v/>
      </c>
      <c r="C111" s="472">
        <f>IF(D93="","-",+C110+1)</f>
        <v>2021</v>
      </c>
      <c r="D111" s="346">
        <f>IF(F110+SUM(E$99:E110)=D$92,F110,D$92-SUM(E$99:E110))</f>
        <v>8733272</v>
      </c>
      <c r="E111" s="486">
        <f>IF(+J96&lt;F110,J96,D111)</f>
        <v>279416</v>
      </c>
      <c r="F111" s="485">
        <f t="shared" ref="F111:F130" si="43">+D111-E111</f>
        <v>8453856</v>
      </c>
      <c r="G111" s="485">
        <f t="shared" ref="G111:G130" si="44">+(F111+D111)/2</f>
        <v>8593564</v>
      </c>
      <c r="H111" s="488">
        <f t="shared" ref="H111:H154" si="45">+J$94*G111+E111</f>
        <v>1257301.6496546383</v>
      </c>
      <c r="I111" s="542">
        <f t="shared" ref="I111:I154" si="46">+J$95*G111+E111</f>
        <v>1257301.6496546383</v>
      </c>
      <c r="J111" s="478">
        <f t="shared" si="27"/>
        <v>0</v>
      </c>
      <c r="K111" s="478"/>
      <c r="L111" s="487"/>
      <c r="M111" s="478">
        <f t="shared" si="29"/>
        <v>0</v>
      </c>
      <c r="N111" s="487"/>
      <c r="O111" s="478">
        <f t="shared" si="31"/>
        <v>0</v>
      </c>
      <c r="P111" s="478">
        <f t="shared" si="32"/>
        <v>0</v>
      </c>
    </row>
    <row r="112" spans="1:16" ht="12.5">
      <c r="B112" s="160" t="str">
        <f t="shared" si="33"/>
        <v/>
      </c>
      <c r="C112" s="472">
        <f>IF(D93="","-",+C111+1)</f>
        <v>2022</v>
      </c>
      <c r="D112" s="346">
        <f>IF(F111+SUM(E$99:E111)=D$92,F111,D$92-SUM(E$99:E111))</f>
        <v>8453856</v>
      </c>
      <c r="E112" s="486">
        <f>IF(+J96&lt;F111,J96,D112)</f>
        <v>279416</v>
      </c>
      <c r="F112" s="485">
        <f t="shared" si="43"/>
        <v>8174440</v>
      </c>
      <c r="G112" s="485">
        <f t="shared" si="44"/>
        <v>8314148</v>
      </c>
      <c r="H112" s="488">
        <f t="shared" si="45"/>
        <v>1225506.1225969587</v>
      </c>
      <c r="I112" s="542">
        <f t="shared" si="46"/>
        <v>1225506.1225969587</v>
      </c>
      <c r="J112" s="478">
        <f t="shared" si="27"/>
        <v>0</v>
      </c>
      <c r="K112" s="478"/>
      <c r="L112" s="487"/>
      <c r="M112" s="478">
        <f t="shared" si="29"/>
        <v>0</v>
      </c>
      <c r="N112" s="487"/>
      <c r="O112" s="478">
        <f t="shared" si="31"/>
        <v>0</v>
      </c>
      <c r="P112" s="478">
        <f t="shared" si="32"/>
        <v>0</v>
      </c>
    </row>
    <row r="113" spans="2:16" ht="12.5">
      <c r="B113" s="160" t="str">
        <f t="shared" si="33"/>
        <v/>
      </c>
      <c r="C113" s="472">
        <f>IF(D93="","-",+C112+1)</f>
        <v>2023</v>
      </c>
      <c r="D113" s="346">
        <f>IF(F112+SUM(E$99:E112)=D$92,F112,D$92-SUM(E$99:E112))</f>
        <v>8174440</v>
      </c>
      <c r="E113" s="486">
        <f>IF(+J96&lt;F112,J96,D113)</f>
        <v>279416</v>
      </c>
      <c r="F113" s="485">
        <f t="shared" si="43"/>
        <v>7895024</v>
      </c>
      <c r="G113" s="485">
        <f t="shared" si="44"/>
        <v>8034732</v>
      </c>
      <c r="H113" s="488">
        <f t="shared" si="45"/>
        <v>1193710.5955392793</v>
      </c>
      <c r="I113" s="542">
        <f t="shared" si="46"/>
        <v>1193710.5955392793</v>
      </c>
      <c r="J113" s="478">
        <f t="shared" si="27"/>
        <v>0</v>
      </c>
      <c r="K113" s="478"/>
      <c r="L113" s="487"/>
      <c r="M113" s="478">
        <f t="shared" si="29"/>
        <v>0</v>
      </c>
      <c r="N113" s="487"/>
      <c r="O113" s="478">
        <f t="shared" si="31"/>
        <v>0</v>
      </c>
      <c r="P113" s="478">
        <f t="shared" si="32"/>
        <v>0</v>
      </c>
    </row>
    <row r="114" spans="2:16" ht="12.5">
      <c r="B114" s="160" t="str">
        <f t="shared" si="33"/>
        <v/>
      </c>
      <c r="C114" s="472">
        <f>IF(D93="","-",+C113+1)</f>
        <v>2024</v>
      </c>
      <c r="D114" s="346">
        <f>IF(F113+SUM(E$99:E113)=D$92,F113,D$92-SUM(E$99:E113))</f>
        <v>7895024</v>
      </c>
      <c r="E114" s="486">
        <f>IF(+J96&lt;F113,J96,D114)</f>
        <v>279416</v>
      </c>
      <c r="F114" s="485">
        <f t="shared" si="43"/>
        <v>7615608</v>
      </c>
      <c r="G114" s="485">
        <f t="shared" si="44"/>
        <v>7755316</v>
      </c>
      <c r="H114" s="488">
        <f t="shared" si="45"/>
        <v>1161915.0684815999</v>
      </c>
      <c r="I114" s="542">
        <f t="shared" si="46"/>
        <v>1161915.0684815999</v>
      </c>
      <c r="J114" s="478">
        <f t="shared" si="27"/>
        <v>0</v>
      </c>
      <c r="K114" s="478"/>
      <c r="L114" s="487"/>
      <c r="M114" s="478">
        <f t="shared" si="29"/>
        <v>0</v>
      </c>
      <c r="N114" s="487"/>
      <c r="O114" s="478">
        <f t="shared" si="31"/>
        <v>0</v>
      </c>
      <c r="P114" s="478">
        <f t="shared" si="32"/>
        <v>0</v>
      </c>
    </row>
    <row r="115" spans="2:16" ht="12.5">
      <c r="B115" s="160" t="str">
        <f t="shared" si="33"/>
        <v/>
      </c>
      <c r="C115" s="472">
        <f>IF(D93="","-",+C114+1)</f>
        <v>2025</v>
      </c>
      <c r="D115" s="346">
        <f>IF(F114+SUM(E$99:E114)=D$92,F114,D$92-SUM(E$99:E114))</f>
        <v>7615608</v>
      </c>
      <c r="E115" s="486">
        <f>IF(+J96&lt;F114,J96,D115)</f>
        <v>279416</v>
      </c>
      <c r="F115" s="485">
        <f t="shared" si="43"/>
        <v>7336192</v>
      </c>
      <c r="G115" s="485">
        <f t="shared" si="44"/>
        <v>7475900</v>
      </c>
      <c r="H115" s="488">
        <f t="shared" si="45"/>
        <v>1130119.5414239203</v>
      </c>
      <c r="I115" s="542">
        <f t="shared" si="46"/>
        <v>1130119.5414239203</v>
      </c>
      <c r="J115" s="478">
        <f t="shared" si="27"/>
        <v>0</v>
      </c>
      <c r="K115" s="478"/>
      <c r="L115" s="487"/>
      <c r="M115" s="478">
        <f t="shared" si="29"/>
        <v>0</v>
      </c>
      <c r="N115" s="487"/>
      <c r="O115" s="478">
        <f t="shared" si="31"/>
        <v>0</v>
      </c>
      <c r="P115" s="478">
        <f t="shared" si="32"/>
        <v>0</v>
      </c>
    </row>
    <row r="116" spans="2:16" ht="12.5">
      <c r="B116" s="160" t="str">
        <f t="shared" si="33"/>
        <v/>
      </c>
      <c r="C116" s="472">
        <f>IF(D93="","-",+C115+1)</f>
        <v>2026</v>
      </c>
      <c r="D116" s="346">
        <f>IF(F115+SUM(E$99:E115)=D$92,F115,D$92-SUM(E$99:E115))</f>
        <v>7336192</v>
      </c>
      <c r="E116" s="486">
        <f>IF(+J96&lt;F115,J96,D116)</f>
        <v>279416</v>
      </c>
      <c r="F116" s="485">
        <f t="shared" si="43"/>
        <v>7056776</v>
      </c>
      <c r="G116" s="485">
        <f t="shared" si="44"/>
        <v>7196484</v>
      </c>
      <c r="H116" s="488">
        <f t="shared" si="45"/>
        <v>1098324.0143662407</v>
      </c>
      <c r="I116" s="542">
        <f t="shared" si="46"/>
        <v>1098324.0143662407</v>
      </c>
      <c r="J116" s="478">
        <f t="shared" si="27"/>
        <v>0</v>
      </c>
      <c r="K116" s="478"/>
      <c r="L116" s="487"/>
      <c r="M116" s="478">
        <f t="shared" si="29"/>
        <v>0</v>
      </c>
      <c r="N116" s="487"/>
      <c r="O116" s="478">
        <f t="shared" si="31"/>
        <v>0</v>
      </c>
      <c r="P116" s="478">
        <f t="shared" si="32"/>
        <v>0</v>
      </c>
    </row>
    <row r="117" spans="2:16" ht="12.5">
      <c r="B117" s="160" t="str">
        <f t="shared" si="33"/>
        <v/>
      </c>
      <c r="C117" s="472">
        <f>IF(D93="","-",+C116+1)</f>
        <v>2027</v>
      </c>
      <c r="D117" s="346">
        <f>IF(F116+SUM(E$99:E116)=D$92,F116,D$92-SUM(E$99:E116))</f>
        <v>7056776</v>
      </c>
      <c r="E117" s="486">
        <f>IF(+J96&lt;F116,J96,D117)</f>
        <v>279416</v>
      </c>
      <c r="F117" s="485">
        <f t="shared" si="43"/>
        <v>6777360</v>
      </c>
      <c r="G117" s="485">
        <f t="shared" si="44"/>
        <v>6917068</v>
      </c>
      <c r="H117" s="488">
        <f t="shared" si="45"/>
        <v>1066528.4873085613</v>
      </c>
      <c r="I117" s="542">
        <f t="shared" si="46"/>
        <v>1066528.4873085613</v>
      </c>
      <c r="J117" s="478">
        <f t="shared" si="27"/>
        <v>0</v>
      </c>
      <c r="K117" s="478"/>
      <c r="L117" s="487"/>
      <c r="M117" s="478">
        <f t="shared" si="29"/>
        <v>0</v>
      </c>
      <c r="N117" s="487"/>
      <c r="O117" s="478">
        <f t="shared" si="31"/>
        <v>0</v>
      </c>
      <c r="P117" s="478">
        <f t="shared" si="32"/>
        <v>0</v>
      </c>
    </row>
    <row r="118" spans="2:16" ht="12.5">
      <c r="B118" s="160" t="str">
        <f t="shared" si="33"/>
        <v/>
      </c>
      <c r="C118" s="472">
        <f>IF(D93="","-",+C117+1)</f>
        <v>2028</v>
      </c>
      <c r="D118" s="346">
        <f>IF(F117+SUM(E$99:E117)=D$92,F117,D$92-SUM(E$99:E117))</f>
        <v>6777360</v>
      </c>
      <c r="E118" s="486">
        <f>IF(+J96&lt;F117,J96,D118)</f>
        <v>279416</v>
      </c>
      <c r="F118" s="485">
        <f t="shared" si="43"/>
        <v>6497944</v>
      </c>
      <c r="G118" s="485">
        <f t="shared" si="44"/>
        <v>6637652</v>
      </c>
      <c r="H118" s="488">
        <f t="shared" si="45"/>
        <v>1034732.9602508818</v>
      </c>
      <c r="I118" s="542">
        <f t="shared" si="46"/>
        <v>1034732.9602508818</v>
      </c>
      <c r="J118" s="478">
        <f t="shared" si="27"/>
        <v>0</v>
      </c>
      <c r="K118" s="478"/>
      <c r="L118" s="487"/>
      <c r="M118" s="478">
        <f t="shared" si="29"/>
        <v>0</v>
      </c>
      <c r="N118" s="487"/>
      <c r="O118" s="478">
        <f t="shared" si="31"/>
        <v>0</v>
      </c>
      <c r="P118" s="478">
        <f t="shared" si="32"/>
        <v>0</v>
      </c>
    </row>
    <row r="119" spans="2:16" ht="12.5">
      <c r="B119" s="160" t="str">
        <f t="shared" si="33"/>
        <v/>
      </c>
      <c r="C119" s="472">
        <f>IF(D93="","-",+C118+1)</f>
        <v>2029</v>
      </c>
      <c r="D119" s="346">
        <f>IF(F118+SUM(E$99:E118)=D$92,F118,D$92-SUM(E$99:E118))</f>
        <v>6497944</v>
      </c>
      <c r="E119" s="486">
        <f>IF(+J96&lt;F118,J96,D119)</f>
        <v>279416</v>
      </c>
      <c r="F119" s="485">
        <f t="shared" si="43"/>
        <v>6218528</v>
      </c>
      <c r="G119" s="485">
        <f t="shared" si="44"/>
        <v>6358236</v>
      </c>
      <c r="H119" s="488">
        <f t="shared" si="45"/>
        <v>1002937.4331932024</v>
      </c>
      <c r="I119" s="542">
        <f t="shared" si="46"/>
        <v>1002937.4331932024</v>
      </c>
      <c r="J119" s="478">
        <f t="shared" si="27"/>
        <v>0</v>
      </c>
      <c r="K119" s="478"/>
      <c r="L119" s="487"/>
      <c r="M119" s="478">
        <f t="shared" si="29"/>
        <v>0</v>
      </c>
      <c r="N119" s="487"/>
      <c r="O119" s="478">
        <f t="shared" si="31"/>
        <v>0</v>
      </c>
      <c r="P119" s="478">
        <f t="shared" si="32"/>
        <v>0</v>
      </c>
    </row>
    <row r="120" spans="2:16" ht="12.5">
      <c r="B120" s="160" t="str">
        <f t="shared" si="33"/>
        <v/>
      </c>
      <c r="C120" s="472">
        <f>IF(D93="","-",+C119+1)</f>
        <v>2030</v>
      </c>
      <c r="D120" s="346">
        <f>IF(F119+SUM(E$99:E119)=D$92,F119,D$92-SUM(E$99:E119))</f>
        <v>6218528</v>
      </c>
      <c r="E120" s="486">
        <f>IF(+J96&lt;F119,J96,D120)</f>
        <v>279416</v>
      </c>
      <c r="F120" s="485">
        <f t="shared" si="43"/>
        <v>5939112</v>
      </c>
      <c r="G120" s="485">
        <f t="shared" si="44"/>
        <v>6078820</v>
      </c>
      <c r="H120" s="488">
        <f t="shared" si="45"/>
        <v>971141.90613552288</v>
      </c>
      <c r="I120" s="542">
        <f t="shared" si="46"/>
        <v>971141.90613552288</v>
      </c>
      <c r="J120" s="478">
        <f t="shared" si="27"/>
        <v>0</v>
      </c>
      <c r="K120" s="478"/>
      <c r="L120" s="487"/>
      <c r="M120" s="478">
        <f t="shared" si="29"/>
        <v>0</v>
      </c>
      <c r="N120" s="487"/>
      <c r="O120" s="478">
        <f t="shared" si="31"/>
        <v>0</v>
      </c>
      <c r="P120" s="478">
        <f t="shared" si="32"/>
        <v>0</v>
      </c>
    </row>
    <row r="121" spans="2:16" ht="12.5">
      <c r="B121" s="160" t="str">
        <f t="shared" si="33"/>
        <v/>
      </c>
      <c r="C121" s="472">
        <f>IF(D93="","-",+C120+1)</f>
        <v>2031</v>
      </c>
      <c r="D121" s="346">
        <f>IF(F120+SUM(E$99:E120)=D$92,F120,D$92-SUM(E$99:E120))</f>
        <v>5939112</v>
      </c>
      <c r="E121" s="486">
        <f>IF(+J96&lt;F120,J96,D121)</f>
        <v>279416</v>
      </c>
      <c r="F121" s="485">
        <f t="shared" si="43"/>
        <v>5659696</v>
      </c>
      <c r="G121" s="485">
        <f t="shared" si="44"/>
        <v>5799404</v>
      </c>
      <c r="H121" s="488">
        <f t="shared" si="45"/>
        <v>939346.37907784327</v>
      </c>
      <c r="I121" s="542">
        <f t="shared" si="46"/>
        <v>939346.37907784327</v>
      </c>
      <c r="J121" s="478">
        <f t="shared" si="27"/>
        <v>0</v>
      </c>
      <c r="K121" s="478"/>
      <c r="L121" s="487"/>
      <c r="M121" s="478">
        <f t="shared" si="29"/>
        <v>0</v>
      </c>
      <c r="N121" s="487"/>
      <c r="O121" s="478">
        <f t="shared" si="31"/>
        <v>0</v>
      </c>
      <c r="P121" s="478">
        <f t="shared" si="32"/>
        <v>0</v>
      </c>
    </row>
    <row r="122" spans="2:16" ht="12.5">
      <c r="B122" s="160" t="str">
        <f t="shared" si="33"/>
        <v/>
      </c>
      <c r="C122" s="472">
        <f>IF(D93="","-",+C121+1)</f>
        <v>2032</v>
      </c>
      <c r="D122" s="346">
        <f>IF(F121+SUM(E$99:E121)=D$92,F121,D$92-SUM(E$99:E121))</f>
        <v>5659696</v>
      </c>
      <c r="E122" s="486">
        <f>IF(+J96&lt;F121,J96,D122)</f>
        <v>279416</v>
      </c>
      <c r="F122" s="485">
        <f t="shared" si="43"/>
        <v>5380280</v>
      </c>
      <c r="G122" s="485">
        <f t="shared" si="44"/>
        <v>5519988</v>
      </c>
      <c r="H122" s="488">
        <f t="shared" si="45"/>
        <v>907550.85202016379</v>
      </c>
      <c r="I122" s="542">
        <f t="shared" si="46"/>
        <v>907550.85202016379</v>
      </c>
      <c r="J122" s="478">
        <f t="shared" si="27"/>
        <v>0</v>
      </c>
      <c r="K122" s="478"/>
      <c r="L122" s="487"/>
      <c r="M122" s="478">
        <f t="shared" si="29"/>
        <v>0</v>
      </c>
      <c r="N122" s="487"/>
      <c r="O122" s="478">
        <f t="shared" si="31"/>
        <v>0</v>
      </c>
      <c r="P122" s="478">
        <f t="shared" si="32"/>
        <v>0</v>
      </c>
    </row>
    <row r="123" spans="2:16" ht="12.5">
      <c r="B123" s="160" t="str">
        <f t="shared" si="33"/>
        <v/>
      </c>
      <c r="C123" s="472">
        <f>IF(D93="","-",+C122+1)</f>
        <v>2033</v>
      </c>
      <c r="D123" s="346">
        <f>IF(F122+SUM(E$99:E122)=D$92,F122,D$92-SUM(E$99:E122))</f>
        <v>5380280</v>
      </c>
      <c r="E123" s="486">
        <f>IF(+J96&lt;F122,J96,D123)</f>
        <v>279416</v>
      </c>
      <c r="F123" s="485">
        <f t="shared" si="43"/>
        <v>5100864</v>
      </c>
      <c r="G123" s="485">
        <f t="shared" si="44"/>
        <v>5240572</v>
      </c>
      <c r="H123" s="488">
        <f t="shared" si="45"/>
        <v>875755.3249624843</v>
      </c>
      <c r="I123" s="542">
        <f t="shared" si="46"/>
        <v>875755.3249624843</v>
      </c>
      <c r="J123" s="478">
        <f t="shared" si="27"/>
        <v>0</v>
      </c>
      <c r="K123" s="478"/>
      <c r="L123" s="487"/>
      <c r="M123" s="478">
        <f t="shared" si="29"/>
        <v>0</v>
      </c>
      <c r="N123" s="487"/>
      <c r="O123" s="478">
        <f t="shared" si="31"/>
        <v>0</v>
      </c>
      <c r="P123" s="478">
        <f t="shared" si="32"/>
        <v>0</v>
      </c>
    </row>
    <row r="124" spans="2:16" ht="12.5">
      <c r="B124" s="160" t="str">
        <f t="shared" si="33"/>
        <v/>
      </c>
      <c r="C124" s="472">
        <f>IF(D93="","-",+C123+1)</f>
        <v>2034</v>
      </c>
      <c r="D124" s="346">
        <f>IF(F123+SUM(E$99:E123)=D$92,F123,D$92-SUM(E$99:E123))</f>
        <v>5100864</v>
      </c>
      <c r="E124" s="486">
        <f>IF(+J96&lt;F123,J96,D124)</f>
        <v>279416</v>
      </c>
      <c r="F124" s="485">
        <f t="shared" si="43"/>
        <v>4821448</v>
      </c>
      <c r="G124" s="485">
        <f t="shared" si="44"/>
        <v>4961156</v>
      </c>
      <c r="H124" s="488">
        <f t="shared" si="45"/>
        <v>843959.79790480481</v>
      </c>
      <c r="I124" s="542">
        <f t="shared" si="46"/>
        <v>843959.79790480481</v>
      </c>
      <c r="J124" s="478">
        <f t="shared" si="27"/>
        <v>0</v>
      </c>
      <c r="K124" s="478"/>
      <c r="L124" s="487"/>
      <c r="M124" s="478">
        <f t="shared" si="29"/>
        <v>0</v>
      </c>
      <c r="N124" s="487"/>
      <c r="O124" s="478">
        <f t="shared" si="31"/>
        <v>0</v>
      </c>
      <c r="P124" s="478">
        <f t="shared" si="32"/>
        <v>0</v>
      </c>
    </row>
    <row r="125" spans="2:16" ht="12.5">
      <c r="B125" s="160" t="str">
        <f t="shared" si="33"/>
        <v/>
      </c>
      <c r="C125" s="472">
        <f>IF(D93="","-",+C124+1)</f>
        <v>2035</v>
      </c>
      <c r="D125" s="346">
        <f>IF(F124+SUM(E$99:E124)=D$92,F124,D$92-SUM(E$99:E124))</f>
        <v>4821448</v>
      </c>
      <c r="E125" s="486">
        <f>IF(+J96&lt;F124,J96,D125)</f>
        <v>279416</v>
      </c>
      <c r="F125" s="485">
        <f t="shared" si="43"/>
        <v>4542032</v>
      </c>
      <c r="G125" s="485">
        <f t="shared" si="44"/>
        <v>4681740</v>
      </c>
      <c r="H125" s="488">
        <f t="shared" si="45"/>
        <v>812164.27084712533</v>
      </c>
      <c r="I125" s="542">
        <f t="shared" si="46"/>
        <v>812164.27084712533</v>
      </c>
      <c r="J125" s="478">
        <f t="shared" si="27"/>
        <v>0</v>
      </c>
      <c r="K125" s="478"/>
      <c r="L125" s="487"/>
      <c r="M125" s="478">
        <f t="shared" si="29"/>
        <v>0</v>
      </c>
      <c r="N125" s="487"/>
      <c r="O125" s="478">
        <f t="shared" si="31"/>
        <v>0</v>
      </c>
      <c r="P125" s="478">
        <f t="shared" si="32"/>
        <v>0</v>
      </c>
    </row>
    <row r="126" spans="2:16" ht="12.5">
      <c r="B126" s="160" t="str">
        <f t="shared" si="33"/>
        <v/>
      </c>
      <c r="C126" s="472">
        <f>IF(D93="","-",+C125+1)</f>
        <v>2036</v>
      </c>
      <c r="D126" s="346">
        <f>IF(F125+SUM(E$99:E125)=D$92,F125,D$92-SUM(E$99:E125))</f>
        <v>4542032</v>
      </c>
      <c r="E126" s="486">
        <f>IF(+J96&lt;F125,J96,D126)</f>
        <v>279416</v>
      </c>
      <c r="F126" s="485">
        <f t="shared" si="43"/>
        <v>4262616</v>
      </c>
      <c r="G126" s="485">
        <f t="shared" si="44"/>
        <v>4402324</v>
      </c>
      <c r="H126" s="488">
        <f t="shared" si="45"/>
        <v>780368.74378944584</v>
      </c>
      <c r="I126" s="542">
        <f t="shared" si="46"/>
        <v>780368.74378944584</v>
      </c>
      <c r="J126" s="478">
        <f t="shared" si="27"/>
        <v>0</v>
      </c>
      <c r="K126" s="478"/>
      <c r="L126" s="487"/>
      <c r="M126" s="478">
        <f t="shared" si="29"/>
        <v>0</v>
      </c>
      <c r="N126" s="487"/>
      <c r="O126" s="478">
        <f t="shared" si="31"/>
        <v>0</v>
      </c>
      <c r="P126" s="478">
        <f t="shared" si="32"/>
        <v>0</v>
      </c>
    </row>
    <row r="127" spans="2:16" ht="12.5">
      <c r="B127" s="160" t="str">
        <f t="shared" si="33"/>
        <v/>
      </c>
      <c r="C127" s="472">
        <f>IF(D93="","-",+C126+1)</f>
        <v>2037</v>
      </c>
      <c r="D127" s="346">
        <f>IF(F126+SUM(E$99:E126)=D$92,F126,D$92-SUM(E$99:E126))</f>
        <v>4262616</v>
      </c>
      <c r="E127" s="486">
        <f>IF(+J96&lt;F126,J96,D127)</f>
        <v>279416</v>
      </c>
      <c r="F127" s="485">
        <f t="shared" si="43"/>
        <v>3983200</v>
      </c>
      <c r="G127" s="485">
        <f t="shared" si="44"/>
        <v>4122908</v>
      </c>
      <c r="H127" s="488">
        <f t="shared" si="45"/>
        <v>748573.21673176636</v>
      </c>
      <c r="I127" s="542">
        <f t="shared" si="46"/>
        <v>748573.21673176636</v>
      </c>
      <c r="J127" s="478">
        <f t="shared" si="27"/>
        <v>0</v>
      </c>
      <c r="K127" s="478"/>
      <c r="L127" s="487"/>
      <c r="M127" s="478">
        <f t="shared" si="29"/>
        <v>0</v>
      </c>
      <c r="N127" s="487"/>
      <c r="O127" s="478">
        <f t="shared" si="31"/>
        <v>0</v>
      </c>
      <c r="P127" s="478">
        <f t="shared" si="32"/>
        <v>0</v>
      </c>
    </row>
    <row r="128" spans="2:16" ht="12.5">
      <c r="B128" s="160" t="str">
        <f t="shared" si="33"/>
        <v/>
      </c>
      <c r="C128" s="472">
        <f>IF(D93="","-",+C127+1)</f>
        <v>2038</v>
      </c>
      <c r="D128" s="346">
        <f>IF(F127+SUM(E$99:E127)=D$92,F127,D$92-SUM(E$99:E127))</f>
        <v>3983200</v>
      </c>
      <c r="E128" s="486">
        <f>IF(+J96&lt;F127,J96,D128)</f>
        <v>279416</v>
      </c>
      <c r="F128" s="485">
        <f t="shared" si="43"/>
        <v>3703784</v>
      </c>
      <c r="G128" s="485">
        <f t="shared" si="44"/>
        <v>3843492</v>
      </c>
      <c r="H128" s="488">
        <f t="shared" si="45"/>
        <v>716777.68967408687</v>
      </c>
      <c r="I128" s="542">
        <f t="shared" si="46"/>
        <v>716777.68967408687</v>
      </c>
      <c r="J128" s="478">
        <f t="shared" si="27"/>
        <v>0</v>
      </c>
      <c r="K128" s="478"/>
      <c r="L128" s="487"/>
      <c r="M128" s="478">
        <f t="shared" si="29"/>
        <v>0</v>
      </c>
      <c r="N128" s="487"/>
      <c r="O128" s="478">
        <f t="shared" si="31"/>
        <v>0</v>
      </c>
      <c r="P128" s="478">
        <f t="shared" si="32"/>
        <v>0</v>
      </c>
    </row>
    <row r="129" spans="2:16" ht="12.5">
      <c r="B129" s="160" t="str">
        <f t="shared" si="33"/>
        <v/>
      </c>
      <c r="C129" s="472">
        <f>IF(D93="","-",+C128+1)</f>
        <v>2039</v>
      </c>
      <c r="D129" s="346">
        <f>IF(F128+SUM(E$99:E128)=D$92,F128,D$92-SUM(E$99:E128))</f>
        <v>3703784</v>
      </c>
      <c r="E129" s="486">
        <f>IF(+J96&lt;F128,J96,D129)</f>
        <v>279416</v>
      </c>
      <c r="F129" s="485">
        <f t="shared" si="43"/>
        <v>3424368</v>
      </c>
      <c r="G129" s="485">
        <f t="shared" si="44"/>
        <v>3564076</v>
      </c>
      <c r="H129" s="488">
        <f t="shared" si="45"/>
        <v>684982.16261640738</v>
      </c>
      <c r="I129" s="542">
        <f t="shared" si="46"/>
        <v>684982.16261640738</v>
      </c>
      <c r="J129" s="478">
        <f t="shared" si="27"/>
        <v>0</v>
      </c>
      <c r="K129" s="478"/>
      <c r="L129" s="487"/>
      <c r="M129" s="478">
        <f t="shared" si="29"/>
        <v>0</v>
      </c>
      <c r="N129" s="487"/>
      <c r="O129" s="478">
        <f t="shared" si="31"/>
        <v>0</v>
      </c>
      <c r="P129" s="478">
        <f t="shared" si="32"/>
        <v>0</v>
      </c>
    </row>
    <row r="130" spans="2:16" ht="12.5">
      <c r="B130" s="160" t="str">
        <f t="shared" si="33"/>
        <v/>
      </c>
      <c r="C130" s="472">
        <f>IF(D93="","-",+C129+1)</f>
        <v>2040</v>
      </c>
      <c r="D130" s="346">
        <f>IF(F129+SUM(E$99:E129)=D$92,F129,D$92-SUM(E$99:E129))</f>
        <v>3424368</v>
      </c>
      <c r="E130" s="486">
        <f>IF(+J96&lt;F129,J96,D130)</f>
        <v>279416</v>
      </c>
      <c r="F130" s="485">
        <f t="shared" si="43"/>
        <v>3144952</v>
      </c>
      <c r="G130" s="485">
        <f t="shared" si="44"/>
        <v>3284660</v>
      </c>
      <c r="H130" s="488">
        <f t="shared" si="45"/>
        <v>653186.6355587279</v>
      </c>
      <c r="I130" s="542">
        <f t="shared" si="46"/>
        <v>653186.6355587279</v>
      </c>
      <c r="J130" s="478">
        <f t="shared" si="27"/>
        <v>0</v>
      </c>
      <c r="K130" s="478"/>
      <c r="L130" s="487"/>
      <c r="M130" s="478">
        <f t="shared" si="29"/>
        <v>0</v>
      </c>
      <c r="N130" s="487"/>
      <c r="O130" s="478">
        <f t="shared" si="31"/>
        <v>0</v>
      </c>
      <c r="P130" s="478">
        <f t="shared" si="32"/>
        <v>0</v>
      </c>
    </row>
    <row r="131" spans="2:16" ht="12.5">
      <c r="B131" s="160" t="str">
        <f t="shared" si="33"/>
        <v/>
      </c>
      <c r="C131" s="472">
        <f>IF(D93="","-",+C130+1)</f>
        <v>2041</v>
      </c>
      <c r="D131" s="346">
        <f>IF(F130+SUM(E$99:E130)=D$92,F130,D$92-SUM(E$99:E130))</f>
        <v>3144952</v>
      </c>
      <c r="E131" s="486">
        <f>IF(+J96&lt;F130,J96,D131)</f>
        <v>279416</v>
      </c>
      <c r="F131" s="485">
        <f t="shared" ref="F131:F154" si="47">+D131-E131</f>
        <v>2865536</v>
      </c>
      <c r="G131" s="485">
        <f t="shared" ref="G131:G154" si="48">+(F131+D131)/2</f>
        <v>3005244</v>
      </c>
      <c r="H131" s="488">
        <f t="shared" si="45"/>
        <v>621391.10850104841</v>
      </c>
      <c r="I131" s="542">
        <f t="shared" si="46"/>
        <v>621391.10850104841</v>
      </c>
      <c r="J131" s="478">
        <f t="shared" ref="J131:J154" si="49">+I131-H131</f>
        <v>0</v>
      </c>
      <c r="K131" s="478"/>
      <c r="L131" s="487"/>
      <c r="M131" s="478">
        <f t="shared" ref="M131:M154" si="50">IF(L131&lt;&gt;0,+H131-L131,0)</f>
        <v>0</v>
      </c>
      <c r="N131" s="487"/>
      <c r="O131" s="478">
        <f t="shared" ref="O131:O154" si="51">IF(N131&lt;&gt;0,+I131-N131,0)</f>
        <v>0</v>
      </c>
      <c r="P131" s="478">
        <f t="shared" ref="P131:P154" si="52">+O131-M131</f>
        <v>0</v>
      </c>
    </row>
    <row r="132" spans="2:16" ht="12.5">
      <c r="B132" s="160" t="str">
        <f t="shared" si="33"/>
        <v/>
      </c>
      <c r="C132" s="472">
        <f>IF(D93="","-",+C131+1)</f>
        <v>2042</v>
      </c>
      <c r="D132" s="346">
        <f>IF(F131+SUM(E$99:E131)=D$92,F131,D$92-SUM(E$99:E131))</f>
        <v>2865536</v>
      </c>
      <c r="E132" s="486">
        <f>IF(+J96&lt;F131,J96,D132)</f>
        <v>279416</v>
      </c>
      <c r="F132" s="485">
        <f t="shared" si="47"/>
        <v>2586120</v>
      </c>
      <c r="G132" s="485">
        <f t="shared" si="48"/>
        <v>2725828</v>
      </c>
      <c r="H132" s="488">
        <f t="shared" si="45"/>
        <v>589595.58144336892</v>
      </c>
      <c r="I132" s="542">
        <f t="shared" si="46"/>
        <v>589595.58144336892</v>
      </c>
      <c r="J132" s="478">
        <f t="shared" si="49"/>
        <v>0</v>
      </c>
      <c r="K132" s="478"/>
      <c r="L132" s="487"/>
      <c r="M132" s="478">
        <f t="shared" si="50"/>
        <v>0</v>
      </c>
      <c r="N132" s="487"/>
      <c r="O132" s="478">
        <f t="shared" si="51"/>
        <v>0</v>
      </c>
      <c r="P132" s="478">
        <f t="shared" si="52"/>
        <v>0</v>
      </c>
    </row>
    <row r="133" spans="2:16" ht="12.5">
      <c r="B133" s="160" t="str">
        <f t="shared" si="33"/>
        <v/>
      </c>
      <c r="C133" s="472">
        <f>IF(D93="","-",+C132+1)</f>
        <v>2043</v>
      </c>
      <c r="D133" s="346">
        <f>IF(F132+SUM(E$99:E132)=D$92,F132,D$92-SUM(E$99:E132))</f>
        <v>2586120</v>
      </c>
      <c r="E133" s="486">
        <f>IF(+J96&lt;F132,J96,D133)</f>
        <v>279416</v>
      </c>
      <c r="F133" s="485">
        <f t="shared" si="47"/>
        <v>2306704</v>
      </c>
      <c r="G133" s="485">
        <f t="shared" si="48"/>
        <v>2446412</v>
      </c>
      <c r="H133" s="488">
        <f t="shared" si="45"/>
        <v>557800.05438568944</v>
      </c>
      <c r="I133" s="542">
        <f t="shared" si="46"/>
        <v>557800.05438568944</v>
      </c>
      <c r="J133" s="478">
        <f t="shared" si="49"/>
        <v>0</v>
      </c>
      <c r="K133" s="478"/>
      <c r="L133" s="487"/>
      <c r="M133" s="478">
        <f t="shared" si="50"/>
        <v>0</v>
      </c>
      <c r="N133" s="487"/>
      <c r="O133" s="478">
        <f t="shared" si="51"/>
        <v>0</v>
      </c>
      <c r="P133" s="478">
        <f t="shared" si="52"/>
        <v>0</v>
      </c>
    </row>
    <row r="134" spans="2:16" ht="12.5">
      <c r="B134" s="160" t="str">
        <f t="shared" si="33"/>
        <v/>
      </c>
      <c r="C134" s="472">
        <f>IF(D93="","-",+C133+1)</f>
        <v>2044</v>
      </c>
      <c r="D134" s="346">
        <f>IF(F133+SUM(E$99:E133)=D$92,F133,D$92-SUM(E$99:E133))</f>
        <v>2306704</v>
      </c>
      <c r="E134" s="486">
        <f>IF(+J96&lt;F133,J96,D134)</f>
        <v>279416</v>
      </c>
      <c r="F134" s="485">
        <f t="shared" si="47"/>
        <v>2027288</v>
      </c>
      <c r="G134" s="485">
        <f t="shared" si="48"/>
        <v>2166996</v>
      </c>
      <c r="H134" s="488">
        <f t="shared" si="45"/>
        <v>526004.52732800995</v>
      </c>
      <c r="I134" s="542">
        <f t="shared" si="46"/>
        <v>526004.52732800995</v>
      </c>
      <c r="J134" s="478">
        <f t="shared" si="49"/>
        <v>0</v>
      </c>
      <c r="K134" s="478"/>
      <c r="L134" s="487"/>
      <c r="M134" s="478">
        <f t="shared" si="50"/>
        <v>0</v>
      </c>
      <c r="N134" s="487"/>
      <c r="O134" s="478">
        <f t="shared" si="51"/>
        <v>0</v>
      </c>
      <c r="P134" s="478">
        <f t="shared" si="52"/>
        <v>0</v>
      </c>
    </row>
    <row r="135" spans="2:16" ht="12.5">
      <c r="B135" s="160" t="str">
        <f t="shared" si="33"/>
        <v/>
      </c>
      <c r="C135" s="472">
        <f>IF(D93="","-",+C134+1)</f>
        <v>2045</v>
      </c>
      <c r="D135" s="346">
        <f>IF(F134+SUM(E$99:E134)=D$92,F134,D$92-SUM(E$99:E134))</f>
        <v>2027288</v>
      </c>
      <c r="E135" s="486">
        <f>IF(+J96&lt;F134,J96,D135)</f>
        <v>279416</v>
      </c>
      <c r="F135" s="485">
        <f t="shared" si="47"/>
        <v>1747872</v>
      </c>
      <c r="G135" s="485">
        <f t="shared" si="48"/>
        <v>1887580</v>
      </c>
      <c r="H135" s="488">
        <f t="shared" si="45"/>
        <v>494209.00027033046</v>
      </c>
      <c r="I135" s="542">
        <f t="shared" si="46"/>
        <v>494209.00027033046</v>
      </c>
      <c r="J135" s="478">
        <f t="shared" si="49"/>
        <v>0</v>
      </c>
      <c r="K135" s="478"/>
      <c r="L135" s="487"/>
      <c r="M135" s="478">
        <f t="shared" si="50"/>
        <v>0</v>
      </c>
      <c r="N135" s="487"/>
      <c r="O135" s="478">
        <f t="shared" si="51"/>
        <v>0</v>
      </c>
      <c r="P135" s="478">
        <f t="shared" si="52"/>
        <v>0</v>
      </c>
    </row>
    <row r="136" spans="2:16" ht="12.5">
      <c r="B136" s="160" t="str">
        <f t="shared" si="33"/>
        <v/>
      </c>
      <c r="C136" s="472">
        <f>IF(D93="","-",+C135+1)</f>
        <v>2046</v>
      </c>
      <c r="D136" s="346">
        <f>IF(F135+SUM(E$99:E135)=D$92,F135,D$92-SUM(E$99:E135))</f>
        <v>1747872</v>
      </c>
      <c r="E136" s="486">
        <f>IF(+J96&lt;F135,J96,D136)</f>
        <v>279416</v>
      </c>
      <c r="F136" s="485">
        <f t="shared" si="47"/>
        <v>1468456</v>
      </c>
      <c r="G136" s="485">
        <f t="shared" si="48"/>
        <v>1608164</v>
      </c>
      <c r="H136" s="488">
        <f t="shared" si="45"/>
        <v>462413.47321265098</v>
      </c>
      <c r="I136" s="542">
        <f t="shared" si="46"/>
        <v>462413.47321265098</v>
      </c>
      <c r="J136" s="478">
        <f t="shared" si="49"/>
        <v>0</v>
      </c>
      <c r="K136" s="478"/>
      <c r="L136" s="487"/>
      <c r="M136" s="478">
        <f t="shared" si="50"/>
        <v>0</v>
      </c>
      <c r="N136" s="487"/>
      <c r="O136" s="478">
        <f t="shared" si="51"/>
        <v>0</v>
      </c>
      <c r="P136" s="478">
        <f t="shared" si="52"/>
        <v>0</v>
      </c>
    </row>
    <row r="137" spans="2:16" ht="12.5">
      <c r="B137" s="160" t="str">
        <f t="shared" si="33"/>
        <v/>
      </c>
      <c r="C137" s="472">
        <f>IF(D93="","-",+C136+1)</f>
        <v>2047</v>
      </c>
      <c r="D137" s="346">
        <f>IF(F136+SUM(E$99:E136)=D$92,F136,D$92-SUM(E$99:E136))</f>
        <v>1468456</v>
      </c>
      <c r="E137" s="486">
        <f>IF(+J96&lt;F136,J96,D137)</f>
        <v>279416</v>
      </c>
      <c r="F137" s="485">
        <f t="shared" si="47"/>
        <v>1189040</v>
      </c>
      <c r="G137" s="485">
        <f t="shared" si="48"/>
        <v>1328748</v>
      </c>
      <c r="H137" s="488">
        <f t="shared" si="45"/>
        <v>430617.94615497149</v>
      </c>
      <c r="I137" s="542">
        <f t="shared" si="46"/>
        <v>430617.94615497149</v>
      </c>
      <c r="J137" s="478">
        <f t="shared" si="49"/>
        <v>0</v>
      </c>
      <c r="K137" s="478"/>
      <c r="L137" s="487"/>
      <c r="M137" s="478">
        <f t="shared" si="50"/>
        <v>0</v>
      </c>
      <c r="N137" s="487"/>
      <c r="O137" s="478">
        <f t="shared" si="51"/>
        <v>0</v>
      </c>
      <c r="P137" s="478">
        <f t="shared" si="52"/>
        <v>0</v>
      </c>
    </row>
    <row r="138" spans="2:16" ht="12.5">
      <c r="B138" s="160" t="str">
        <f t="shared" si="33"/>
        <v/>
      </c>
      <c r="C138" s="472">
        <f>IF(D93="","-",+C137+1)</f>
        <v>2048</v>
      </c>
      <c r="D138" s="346">
        <f>IF(F137+SUM(E$99:E137)=D$92,F137,D$92-SUM(E$99:E137))</f>
        <v>1189040</v>
      </c>
      <c r="E138" s="486">
        <f>IF(+J96&lt;F137,J96,D138)</f>
        <v>279416</v>
      </c>
      <c r="F138" s="485">
        <f t="shared" si="47"/>
        <v>909624</v>
      </c>
      <c r="G138" s="485">
        <f t="shared" si="48"/>
        <v>1049332</v>
      </c>
      <c r="H138" s="488">
        <f t="shared" si="45"/>
        <v>398822.419097292</v>
      </c>
      <c r="I138" s="542">
        <f t="shared" si="46"/>
        <v>398822.419097292</v>
      </c>
      <c r="J138" s="478">
        <f t="shared" si="49"/>
        <v>0</v>
      </c>
      <c r="K138" s="478"/>
      <c r="L138" s="487"/>
      <c r="M138" s="478">
        <f t="shared" si="50"/>
        <v>0</v>
      </c>
      <c r="N138" s="487"/>
      <c r="O138" s="478">
        <f t="shared" si="51"/>
        <v>0</v>
      </c>
      <c r="P138" s="478">
        <f t="shared" si="52"/>
        <v>0</v>
      </c>
    </row>
    <row r="139" spans="2:16" ht="12.5">
      <c r="B139" s="160" t="str">
        <f t="shared" si="33"/>
        <v/>
      </c>
      <c r="C139" s="472">
        <f>IF(D93="","-",+C138+1)</f>
        <v>2049</v>
      </c>
      <c r="D139" s="346">
        <f>IF(F138+SUM(E$99:E138)=D$92,F138,D$92-SUM(E$99:E138))</f>
        <v>909624</v>
      </c>
      <c r="E139" s="486">
        <f>IF(+J96&lt;F138,J96,D139)</f>
        <v>279416</v>
      </c>
      <c r="F139" s="485">
        <f t="shared" si="47"/>
        <v>630208</v>
      </c>
      <c r="G139" s="485">
        <f t="shared" si="48"/>
        <v>769916</v>
      </c>
      <c r="H139" s="488">
        <f t="shared" si="45"/>
        <v>367026.89203961252</v>
      </c>
      <c r="I139" s="542">
        <f t="shared" si="46"/>
        <v>367026.89203961252</v>
      </c>
      <c r="J139" s="478">
        <f t="shared" si="49"/>
        <v>0</v>
      </c>
      <c r="K139" s="478"/>
      <c r="L139" s="487"/>
      <c r="M139" s="478">
        <f t="shared" si="50"/>
        <v>0</v>
      </c>
      <c r="N139" s="487"/>
      <c r="O139" s="478">
        <f t="shared" si="51"/>
        <v>0</v>
      </c>
      <c r="P139" s="478">
        <f t="shared" si="52"/>
        <v>0</v>
      </c>
    </row>
    <row r="140" spans="2:16" ht="12.5">
      <c r="B140" s="160" t="str">
        <f t="shared" si="33"/>
        <v/>
      </c>
      <c r="C140" s="472">
        <f>IF(D93="","-",+C139+1)</f>
        <v>2050</v>
      </c>
      <c r="D140" s="346">
        <f>IF(F139+SUM(E$99:E139)=D$92,F139,D$92-SUM(E$99:E139))</f>
        <v>630208</v>
      </c>
      <c r="E140" s="486">
        <f>IF(+J96&lt;F139,J96,D140)</f>
        <v>279416</v>
      </c>
      <c r="F140" s="485">
        <f t="shared" si="47"/>
        <v>350792</v>
      </c>
      <c r="G140" s="485">
        <f t="shared" si="48"/>
        <v>490500</v>
      </c>
      <c r="H140" s="488">
        <f t="shared" si="45"/>
        <v>335231.36498193297</v>
      </c>
      <c r="I140" s="542">
        <f t="shared" si="46"/>
        <v>335231.36498193297</v>
      </c>
      <c r="J140" s="478">
        <f t="shared" si="49"/>
        <v>0</v>
      </c>
      <c r="K140" s="478"/>
      <c r="L140" s="487"/>
      <c r="M140" s="478">
        <f t="shared" si="50"/>
        <v>0</v>
      </c>
      <c r="N140" s="487"/>
      <c r="O140" s="478">
        <f t="shared" si="51"/>
        <v>0</v>
      </c>
      <c r="P140" s="478">
        <f t="shared" si="52"/>
        <v>0</v>
      </c>
    </row>
    <row r="141" spans="2:16" ht="12.5">
      <c r="B141" s="160" t="str">
        <f t="shared" si="33"/>
        <v/>
      </c>
      <c r="C141" s="472">
        <f>IF(D93="","-",+C140+1)</f>
        <v>2051</v>
      </c>
      <c r="D141" s="346">
        <f>IF(F140+SUM(E$99:E140)=D$92,F140,D$92-SUM(E$99:E140))</f>
        <v>350792</v>
      </c>
      <c r="E141" s="486">
        <f>IF(+J96&lt;F140,J96,D141)</f>
        <v>279416</v>
      </c>
      <c r="F141" s="485">
        <f t="shared" si="47"/>
        <v>71376</v>
      </c>
      <c r="G141" s="485">
        <f t="shared" si="48"/>
        <v>211084</v>
      </c>
      <c r="H141" s="488">
        <f t="shared" si="45"/>
        <v>303435.83792425349</v>
      </c>
      <c r="I141" s="542">
        <f t="shared" si="46"/>
        <v>303435.83792425349</v>
      </c>
      <c r="J141" s="478">
        <f t="shared" si="49"/>
        <v>0</v>
      </c>
      <c r="K141" s="478"/>
      <c r="L141" s="487"/>
      <c r="M141" s="478">
        <f t="shared" si="50"/>
        <v>0</v>
      </c>
      <c r="N141" s="487"/>
      <c r="O141" s="478">
        <f t="shared" si="51"/>
        <v>0</v>
      </c>
      <c r="P141" s="478">
        <f t="shared" si="52"/>
        <v>0</v>
      </c>
    </row>
    <row r="142" spans="2:16" ht="12.5">
      <c r="B142" s="160" t="str">
        <f t="shared" si="33"/>
        <v/>
      </c>
      <c r="C142" s="472">
        <f>IF(D93="","-",+C141+1)</f>
        <v>2052</v>
      </c>
      <c r="D142" s="346">
        <f>IF(F141+SUM(E$99:E141)=D$92,F141,D$92-SUM(E$99:E141))</f>
        <v>71376</v>
      </c>
      <c r="E142" s="486">
        <f>IF(+J96&lt;F141,J96,D142)</f>
        <v>71376</v>
      </c>
      <c r="F142" s="485">
        <f t="shared" si="47"/>
        <v>0</v>
      </c>
      <c r="G142" s="485">
        <f t="shared" si="48"/>
        <v>35688</v>
      </c>
      <c r="H142" s="488">
        <f t="shared" si="45"/>
        <v>75437.037197706886</v>
      </c>
      <c r="I142" s="542">
        <f t="shared" si="46"/>
        <v>75437.037197706886</v>
      </c>
      <c r="J142" s="478">
        <f t="shared" si="49"/>
        <v>0</v>
      </c>
      <c r="K142" s="478"/>
      <c r="L142" s="487"/>
      <c r="M142" s="478">
        <f t="shared" si="50"/>
        <v>0</v>
      </c>
      <c r="N142" s="487"/>
      <c r="O142" s="478">
        <f t="shared" si="51"/>
        <v>0</v>
      </c>
      <c r="P142" s="478">
        <f t="shared" si="52"/>
        <v>0</v>
      </c>
    </row>
    <row r="143" spans="2:16" ht="12.5">
      <c r="B143" s="160" t="str">
        <f t="shared" si="33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7"/>
        <v>0</v>
      </c>
      <c r="G143" s="485">
        <f t="shared" si="48"/>
        <v>0</v>
      </c>
      <c r="H143" s="488">
        <f t="shared" si="45"/>
        <v>0</v>
      </c>
      <c r="I143" s="542">
        <f t="shared" si="46"/>
        <v>0</v>
      </c>
      <c r="J143" s="478">
        <f t="shared" si="49"/>
        <v>0</v>
      </c>
      <c r="K143" s="478"/>
      <c r="L143" s="487"/>
      <c r="M143" s="478">
        <f t="shared" si="50"/>
        <v>0</v>
      </c>
      <c r="N143" s="487"/>
      <c r="O143" s="478">
        <f t="shared" si="51"/>
        <v>0</v>
      </c>
      <c r="P143" s="478">
        <f t="shared" si="52"/>
        <v>0</v>
      </c>
    </row>
    <row r="144" spans="2:16" ht="12.5">
      <c r="B144" s="160" t="str">
        <f t="shared" si="33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7"/>
        <v>0</v>
      </c>
      <c r="G144" s="485">
        <f t="shared" si="48"/>
        <v>0</v>
      </c>
      <c r="H144" s="488">
        <f t="shared" si="45"/>
        <v>0</v>
      </c>
      <c r="I144" s="542">
        <f t="shared" si="46"/>
        <v>0</v>
      </c>
      <c r="J144" s="478">
        <f t="shared" si="49"/>
        <v>0</v>
      </c>
      <c r="K144" s="478"/>
      <c r="L144" s="487"/>
      <c r="M144" s="478">
        <f t="shared" si="50"/>
        <v>0</v>
      </c>
      <c r="N144" s="487"/>
      <c r="O144" s="478">
        <f t="shared" si="51"/>
        <v>0</v>
      </c>
      <c r="P144" s="478">
        <f t="shared" si="52"/>
        <v>0</v>
      </c>
    </row>
    <row r="145" spans="2:16" ht="12.5">
      <c r="B145" s="160" t="str">
        <f t="shared" si="33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7"/>
        <v>0</v>
      </c>
      <c r="G145" s="485">
        <f t="shared" si="48"/>
        <v>0</v>
      </c>
      <c r="H145" s="488">
        <f t="shared" si="45"/>
        <v>0</v>
      </c>
      <c r="I145" s="542">
        <f t="shared" si="46"/>
        <v>0</v>
      </c>
      <c r="J145" s="478">
        <f t="shared" si="49"/>
        <v>0</v>
      </c>
      <c r="K145" s="478"/>
      <c r="L145" s="487"/>
      <c r="M145" s="478">
        <f t="shared" si="50"/>
        <v>0</v>
      </c>
      <c r="N145" s="487"/>
      <c r="O145" s="478">
        <f t="shared" si="51"/>
        <v>0</v>
      </c>
      <c r="P145" s="478">
        <f t="shared" si="52"/>
        <v>0</v>
      </c>
    </row>
    <row r="146" spans="2:16" ht="12.5">
      <c r="B146" s="160" t="str">
        <f t="shared" si="33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7"/>
        <v>0</v>
      </c>
      <c r="G146" s="485">
        <f t="shared" si="48"/>
        <v>0</v>
      </c>
      <c r="H146" s="488">
        <f t="shared" si="45"/>
        <v>0</v>
      </c>
      <c r="I146" s="542">
        <f t="shared" si="46"/>
        <v>0</v>
      </c>
      <c r="J146" s="478">
        <f t="shared" si="49"/>
        <v>0</v>
      </c>
      <c r="K146" s="478"/>
      <c r="L146" s="487"/>
      <c r="M146" s="478">
        <f t="shared" si="50"/>
        <v>0</v>
      </c>
      <c r="N146" s="487"/>
      <c r="O146" s="478">
        <f t="shared" si="51"/>
        <v>0</v>
      </c>
      <c r="P146" s="478">
        <f t="shared" si="52"/>
        <v>0</v>
      </c>
    </row>
    <row r="147" spans="2:16" ht="12.5">
      <c r="B147" s="160" t="str">
        <f t="shared" si="33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7"/>
        <v>0</v>
      </c>
      <c r="G147" s="485">
        <f t="shared" si="48"/>
        <v>0</v>
      </c>
      <c r="H147" s="488">
        <f t="shared" si="45"/>
        <v>0</v>
      </c>
      <c r="I147" s="542">
        <f t="shared" si="46"/>
        <v>0</v>
      </c>
      <c r="J147" s="478">
        <f t="shared" si="49"/>
        <v>0</v>
      </c>
      <c r="K147" s="478"/>
      <c r="L147" s="487"/>
      <c r="M147" s="478">
        <f t="shared" si="50"/>
        <v>0</v>
      </c>
      <c r="N147" s="487"/>
      <c r="O147" s="478">
        <f t="shared" si="51"/>
        <v>0</v>
      </c>
      <c r="P147" s="478">
        <f t="shared" si="52"/>
        <v>0</v>
      </c>
    </row>
    <row r="148" spans="2:16" ht="12.5">
      <c r="B148" s="160" t="str">
        <f t="shared" si="33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7"/>
        <v>0</v>
      </c>
      <c r="G148" s="485">
        <f t="shared" si="48"/>
        <v>0</v>
      </c>
      <c r="H148" s="488">
        <f t="shared" si="45"/>
        <v>0</v>
      </c>
      <c r="I148" s="542">
        <f t="shared" si="46"/>
        <v>0</v>
      </c>
      <c r="J148" s="478">
        <f t="shared" si="49"/>
        <v>0</v>
      </c>
      <c r="K148" s="478"/>
      <c r="L148" s="487"/>
      <c r="M148" s="478">
        <f t="shared" si="50"/>
        <v>0</v>
      </c>
      <c r="N148" s="487"/>
      <c r="O148" s="478">
        <f t="shared" si="51"/>
        <v>0</v>
      </c>
      <c r="P148" s="478">
        <f t="shared" si="52"/>
        <v>0</v>
      </c>
    </row>
    <row r="149" spans="2:16" ht="12.5">
      <c r="B149" s="160" t="str">
        <f t="shared" si="33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7"/>
        <v>0</v>
      </c>
      <c r="G149" s="485">
        <f t="shared" si="48"/>
        <v>0</v>
      </c>
      <c r="H149" s="488">
        <f t="shared" si="45"/>
        <v>0</v>
      </c>
      <c r="I149" s="542">
        <f t="shared" si="46"/>
        <v>0</v>
      </c>
      <c r="J149" s="478">
        <f t="shared" si="49"/>
        <v>0</v>
      </c>
      <c r="K149" s="478"/>
      <c r="L149" s="487"/>
      <c r="M149" s="478">
        <f t="shared" si="50"/>
        <v>0</v>
      </c>
      <c r="N149" s="487"/>
      <c r="O149" s="478">
        <f t="shared" si="51"/>
        <v>0</v>
      </c>
      <c r="P149" s="478">
        <f t="shared" si="52"/>
        <v>0</v>
      </c>
    </row>
    <row r="150" spans="2:16" ht="12.5">
      <c r="B150" s="160" t="str">
        <f t="shared" si="33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7"/>
        <v>0</v>
      </c>
      <c r="G150" s="485">
        <f t="shared" si="48"/>
        <v>0</v>
      </c>
      <c r="H150" s="488">
        <f t="shared" si="45"/>
        <v>0</v>
      </c>
      <c r="I150" s="542">
        <f t="shared" si="46"/>
        <v>0</v>
      </c>
      <c r="J150" s="478">
        <f t="shared" si="49"/>
        <v>0</v>
      </c>
      <c r="K150" s="478"/>
      <c r="L150" s="487"/>
      <c r="M150" s="478">
        <f t="shared" si="50"/>
        <v>0</v>
      </c>
      <c r="N150" s="487"/>
      <c r="O150" s="478">
        <f t="shared" si="51"/>
        <v>0</v>
      </c>
      <c r="P150" s="478">
        <f t="shared" si="52"/>
        <v>0</v>
      </c>
    </row>
    <row r="151" spans="2:16" ht="12.5">
      <c r="B151" s="160" t="str">
        <f t="shared" si="33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7"/>
        <v>0</v>
      </c>
      <c r="G151" s="485">
        <f t="shared" si="48"/>
        <v>0</v>
      </c>
      <c r="H151" s="488">
        <f t="shared" si="45"/>
        <v>0</v>
      </c>
      <c r="I151" s="542">
        <f t="shared" si="46"/>
        <v>0</v>
      </c>
      <c r="J151" s="478">
        <f t="shared" si="49"/>
        <v>0</v>
      </c>
      <c r="K151" s="478"/>
      <c r="L151" s="487"/>
      <c r="M151" s="478">
        <f t="shared" si="50"/>
        <v>0</v>
      </c>
      <c r="N151" s="487"/>
      <c r="O151" s="478">
        <f t="shared" si="51"/>
        <v>0</v>
      </c>
      <c r="P151" s="478">
        <f t="shared" si="52"/>
        <v>0</v>
      </c>
    </row>
    <row r="152" spans="2:16" ht="12.5">
      <c r="B152" s="160" t="str">
        <f t="shared" si="33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7"/>
        <v>0</v>
      </c>
      <c r="G152" s="485">
        <f t="shared" si="48"/>
        <v>0</v>
      </c>
      <c r="H152" s="488">
        <f t="shared" si="45"/>
        <v>0</v>
      </c>
      <c r="I152" s="542">
        <f t="shared" si="46"/>
        <v>0</v>
      </c>
      <c r="J152" s="478">
        <f t="shared" si="49"/>
        <v>0</v>
      </c>
      <c r="K152" s="478"/>
      <c r="L152" s="487"/>
      <c r="M152" s="478">
        <f t="shared" si="50"/>
        <v>0</v>
      </c>
      <c r="N152" s="487"/>
      <c r="O152" s="478">
        <f t="shared" si="51"/>
        <v>0</v>
      </c>
      <c r="P152" s="478">
        <f t="shared" si="52"/>
        <v>0</v>
      </c>
    </row>
    <row r="153" spans="2:16" ht="12.5">
      <c r="B153" s="160" t="str">
        <f t="shared" si="33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7"/>
        <v>0</v>
      </c>
      <c r="G153" s="485">
        <f t="shared" si="48"/>
        <v>0</v>
      </c>
      <c r="H153" s="488">
        <f t="shared" si="45"/>
        <v>0</v>
      </c>
      <c r="I153" s="542">
        <f t="shared" si="46"/>
        <v>0</v>
      </c>
      <c r="J153" s="478">
        <f t="shared" si="49"/>
        <v>0</v>
      </c>
      <c r="K153" s="478"/>
      <c r="L153" s="487"/>
      <c r="M153" s="478">
        <f t="shared" si="50"/>
        <v>0</v>
      </c>
      <c r="N153" s="487"/>
      <c r="O153" s="478">
        <f t="shared" si="51"/>
        <v>0</v>
      </c>
      <c r="P153" s="478">
        <f t="shared" si="52"/>
        <v>0</v>
      </c>
    </row>
    <row r="154" spans="2:16" ht="13" thickBot="1">
      <c r="B154" s="160" t="str">
        <f t="shared" si="33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7"/>
        <v>0</v>
      </c>
      <c r="G154" s="490">
        <f t="shared" si="48"/>
        <v>0</v>
      </c>
      <c r="H154" s="492">
        <f t="shared" si="45"/>
        <v>0</v>
      </c>
      <c r="I154" s="545">
        <f t="shared" si="46"/>
        <v>0</v>
      </c>
      <c r="J154" s="495">
        <f t="shared" si="49"/>
        <v>0</v>
      </c>
      <c r="K154" s="478"/>
      <c r="L154" s="494"/>
      <c r="M154" s="495">
        <f t="shared" si="50"/>
        <v>0</v>
      </c>
      <c r="N154" s="494"/>
      <c r="O154" s="495">
        <f t="shared" si="51"/>
        <v>0</v>
      </c>
      <c r="P154" s="495">
        <f t="shared" si="52"/>
        <v>0</v>
      </c>
    </row>
    <row r="155" spans="2:16" ht="12.5">
      <c r="C155" s="346" t="s">
        <v>77</v>
      </c>
      <c r="D155" s="347"/>
      <c r="E155" s="347">
        <f>SUM(E99:E154)</f>
        <v>11456065</v>
      </c>
      <c r="F155" s="347"/>
      <c r="G155" s="347"/>
      <c r="H155" s="347">
        <f>SUM(H99:H154)</f>
        <v>42822810.745615378</v>
      </c>
      <c r="I155" s="347">
        <f>SUM(I99:I154)</f>
        <v>42822810.745615378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P162"/>
  <sheetViews>
    <sheetView view="pageBreakPreview" zoomScale="75" zoomScaleNormal="100" zoomScaleSheetLayoutView="5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4 of 31</v>
      </c>
    </row>
    <row r="2" spans="1:16" ht="20">
      <c r="A2" s="555"/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 t="s">
        <v>251</v>
      </c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VLOOKUP(I10,C17:I72,5)-O5</f>
        <v>1546298.0974358974</v>
      </c>
      <c r="O5" s="556">
        <f>1307.4*12</f>
        <v>15688.800000000001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VLOOKUP(I10,C17:I72,6)-O5</f>
        <v>1546298.0974358974</v>
      </c>
      <c r="O6" s="232"/>
      <c r="P6" s="232"/>
    </row>
    <row r="7" spans="1:16" ht="13.5" thickBot="1">
      <c r="C7" s="431" t="s">
        <v>46</v>
      </c>
      <c r="D7" s="432" t="s">
        <v>207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82</v>
      </c>
      <c r="E9" s="577" t="s">
        <v>351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14615636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7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374759.89743589744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557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2008</v>
      </c>
      <c r="D17" s="558">
        <v>2264444</v>
      </c>
      <c r="E17" s="474">
        <v>21774</v>
      </c>
      <c r="F17" s="473">
        <v>2242670</v>
      </c>
      <c r="G17" s="474">
        <v>215833</v>
      </c>
      <c r="H17" s="474">
        <v>215833</v>
      </c>
      <c r="I17" s="475">
        <f t="shared" ref="I17:I48" si="0">H17-G17</f>
        <v>0</v>
      </c>
      <c r="J17" s="348"/>
      <c r="K17" s="476">
        <v>215833</v>
      </c>
      <c r="L17" s="559">
        <f t="shared" ref="L17:L48" si="1">IF(K17&lt;&gt;0,+G17-K17,0)</f>
        <v>0</v>
      </c>
      <c r="M17" s="554">
        <v>215833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>IU</v>
      </c>
      <c r="C18" s="472">
        <f>IF(D11="","-",+C17+1)</f>
        <v>2009</v>
      </c>
      <c r="D18" s="473">
        <v>14429811</v>
      </c>
      <c r="E18" s="480">
        <v>274418</v>
      </c>
      <c r="F18" s="473">
        <v>14155393</v>
      </c>
      <c r="G18" s="480">
        <v>2443110</v>
      </c>
      <c r="H18" s="480">
        <v>2443110</v>
      </c>
      <c r="I18" s="475">
        <f t="shared" si="0"/>
        <v>0</v>
      </c>
      <c r="J18" s="475"/>
      <c r="K18" s="476">
        <v>2443110</v>
      </c>
      <c r="L18" s="478">
        <f t="shared" si="1"/>
        <v>0</v>
      </c>
      <c r="M18" s="476">
        <v>2443110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2010</v>
      </c>
      <c r="D19" s="479">
        <v>14390719</v>
      </c>
      <c r="E19" s="480">
        <v>262266.26785714284</v>
      </c>
      <c r="F19" s="479">
        <v>14128452.732142856</v>
      </c>
      <c r="G19" s="480">
        <v>2300952.2678571427</v>
      </c>
      <c r="H19" s="481">
        <v>2300952.2678571427</v>
      </c>
      <c r="I19" s="475">
        <f t="shared" si="0"/>
        <v>0</v>
      </c>
      <c r="J19" s="475"/>
      <c r="K19" s="476">
        <f t="shared" ref="K19:K24" si="4">G19</f>
        <v>2300952.2678571427</v>
      </c>
      <c r="L19" s="550">
        <f t="shared" si="1"/>
        <v>0</v>
      </c>
      <c r="M19" s="476">
        <f t="shared" ref="M19:M24" si="5">H19</f>
        <v>2300952.2678571427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>IU</v>
      </c>
      <c r="C20" s="472">
        <f>IF(D11="","-",+C19+1)</f>
        <v>2011</v>
      </c>
      <c r="D20" s="479">
        <v>14057177.732142856</v>
      </c>
      <c r="E20" s="480">
        <v>286581.09803921566</v>
      </c>
      <c r="F20" s="479">
        <v>13770596.634103641</v>
      </c>
      <c r="G20" s="480">
        <v>2442276.0980392154</v>
      </c>
      <c r="H20" s="481">
        <v>2442276.0980392154</v>
      </c>
      <c r="I20" s="475">
        <f t="shared" si="0"/>
        <v>0</v>
      </c>
      <c r="J20" s="475"/>
      <c r="K20" s="476">
        <f t="shared" si="4"/>
        <v>2442276.0980392154</v>
      </c>
      <c r="L20" s="550">
        <f t="shared" si="1"/>
        <v>0</v>
      </c>
      <c r="M20" s="476">
        <f t="shared" si="5"/>
        <v>2442276.0980392154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IF(D12="","-",+C20+1)</f>
        <v>2012</v>
      </c>
      <c r="D21" s="479">
        <v>13770596.634103641</v>
      </c>
      <c r="E21" s="480">
        <v>281069.92307692306</v>
      </c>
      <c r="F21" s="479">
        <v>13489526.711026717</v>
      </c>
      <c r="G21" s="480">
        <v>2158902.923076923</v>
      </c>
      <c r="H21" s="481">
        <v>2158902.923076923</v>
      </c>
      <c r="I21" s="475">
        <f t="shared" si="0"/>
        <v>0</v>
      </c>
      <c r="J21" s="475"/>
      <c r="K21" s="476">
        <f t="shared" si="4"/>
        <v>2158902.923076923</v>
      </c>
      <c r="L21" s="550">
        <f t="shared" si="1"/>
        <v>0</v>
      </c>
      <c r="M21" s="476">
        <f t="shared" si="5"/>
        <v>2158902.923076923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6"/>
        <v/>
      </c>
      <c r="C22" s="472">
        <f>IF(D11="","-",+C21+1)</f>
        <v>2013</v>
      </c>
      <c r="D22" s="479">
        <v>13489526.711026717</v>
      </c>
      <c r="E22" s="480">
        <v>281069.92307692306</v>
      </c>
      <c r="F22" s="479">
        <v>13208456.787949793</v>
      </c>
      <c r="G22" s="480">
        <v>2167326.923076923</v>
      </c>
      <c r="H22" s="481">
        <v>2167326.923076923</v>
      </c>
      <c r="I22" s="475">
        <v>0</v>
      </c>
      <c r="J22" s="475"/>
      <c r="K22" s="476">
        <f t="shared" si="4"/>
        <v>2167326.923076923</v>
      </c>
      <c r="L22" s="550">
        <f t="shared" ref="L22:L27" si="7">IF(K22&lt;&gt;0,+G22-K22,0)</f>
        <v>0</v>
      </c>
      <c r="M22" s="476">
        <f t="shared" si="5"/>
        <v>2167326.923076923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 ht="12.5">
      <c r="B23" s="160" t="str">
        <f t="shared" si="6"/>
        <v/>
      </c>
      <c r="C23" s="472">
        <f>IF(D11="","-",+C22+1)</f>
        <v>2014</v>
      </c>
      <c r="D23" s="479">
        <v>13208456.787949793</v>
      </c>
      <c r="E23" s="480">
        <v>281069.92307692306</v>
      </c>
      <c r="F23" s="479">
        <v>12927386.864872869</v>
      </c>
      <c r="G23" s="480">
        <v>2060637.923076923</v>
      </c>
      <c r="H23" s="481">
        <v>2060637.923076923</v>
      </c>
      <c r="I23" s="475">
        <v>0</v>
      </c>
      <c r="J23" s="475"/>
      <c r="K23" s="476">
        <f t="shared" si="4"/>
        <v>2060637.923076923</v>
      </c>
      <c r="L23" s="550">
        <f t="shared" si="7"/>
        <v>0</v>
      </c>
      <c r="M23" s="476">
        <f t="shared" si="5"/>
        <v>2060637.923076923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2015</v>
      </c>
      <c r="D24" s="479">
        <v>12927386.864872869</v>
      </c>
      <c r="E24" s="480">
        <v>281069.92307692306</v>
      </c>
      <c r="F24" s="479">
        <v>12646316.941795945</v>
      </c>
      <c r="G24" s="480">
        <v>2024638.923076923</v>
      </c>
      <c r="H24" s="481">
        <v>2024638.923076923</v>
      </c>
      <c r="I24" s="475">
        <v>0</v>
      </c>
      <c r="J24" s="475"/>
      <c r="K24" s="476">
        <f t="shared" si="4"/>
        <v>2024638.923076923</v>
      </c>
      <c r="L24" s="550">
        <f t="shared" si="7"/>
        <v>0</v>
      </c>
      <c r="M24" s="476">
        <f t="shared" si="5"/>
        <v>2024638.923076923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2016</v>
      </c>
      <c r="D25" s="479">
        <v>12646316.941795945</v>
      </c>
      <c r="E25" s="480">
        <v>281069.92307692306</v>
      </c>
      <c r="F25" s="479">
        <v>12365247.018719021</v>
      </c>
      <c r="G25" s="480">
        <v>1902890.923076923</v>
      </c>
      <c r="H25" s="481">
        <v>1902890.923076923</v>
      </c>
      <c r="I25" s="475">
        <f t="shared" si="0"/>
        <v>0</v>
      </c>
      <c r="J25" s="475"/>
      <c r="K25" s="476">
        <f t="shared" ref="K25:K30" si="10">G25</f>
        <v>1902890.923076923</v>
      </c>
      <c r="L25" s="550">
        <f t="shared" si="7"/>
        <v>0</v>
      </c>
      <c r="M25" s="476">
        <f t="shared" ref="M25:M30" si="11">H25</f>
        <v>1902890.923076923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2017</v>
      </c>
      <c r="D26" s="479">
        <v>12365247.018719021</v>
      </c>
      <c r="E26" s="480">
        <v>317731.21739130432</v>
      </c>
      <c r="F26" s="479">
        <v>12047515.801327717</v>
      </c>
      <c r="G26" s="480">
        <v>1850906.2173913042</v>
      </c>
      <c r="H26" s="481">
        <v>1850906.2173913042</v>
      </c>
      <c r="I26" s="475">
        <f t="shared" si="0"/>
        <v>0</v>
      </c>
      <c r="J26" s="475"/>
      <c r="K26" s="476">
        <f t="shared" si="10"/>
        <v>1850906.2173913042</v>
      </c>
      <c r="L26" s="550">
        <f t="shared" si="7"/>
        <v>0</v>
      </c>
      <c r="M26" s="476">
        <f t="shared" si="11"/>
        <v>1850906.2173913042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2018</v>
      </c>
      <c r="D27" s="479">
        <v>12047515.801327717</v>
      </c>
      <c r="E27" s="480">
        <v>324791.91111111111</v>
      </c>
      <c r="F27" s="479">
        <v>11722723.890216606</v>
      </c>
      <c r="G27" s="480">
        <v>1748141.2740256879</v>
      </c>
      <c r="H27" s="481">
        <v>1748141.2740256879</v>
      </c>
      <c r="I27" s="475">
        <f t="shared" si="0"/>
        <v>0</v>
      </c>
      <c r="J27" s="475"/>
      <c r="K27" s="476">
        <f t="shared" si="10"/>
        <v>1748141.2740256879</v>
      </c>
      <c r="L27" s="550">
        <f t="shared" si="7"/>
        <v>0</v>
      </c>
      <c r="M27" s="476">
        <f t="shared" si="11"/>
        <v>1748141.2740256879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2019</v>
      </c>
      <c r="D28" s="479">
        <v>11722723.890216606</v>
      </c>
      <c r="E28" s="480">
        <v>365390.9</v>
      </c>
      <c r="F28" s="479">
        <v>11357332.990216605</v>
      </c>
      <c r="G28" s="480">
        <v>1653911.6007125233</v>
      </c>
      <c r="H28" s="481">
        <v>1653911.6007125233</v>
      </c>
      <c r="I28" s="475">
        <f t="shared" si="0"/>
        <v>0</v>
      </c>
      <c r="J28" s="475"/>
      <c r="K28" s="476">
        <f t="shared" si="10"/>
        <v>1653911.6007125233</v>
      </c>
      <c r="L28" s="550">
        <f t="shared" ref="L28" si="12">IF(K28&lt;&gt;0,+G28-K28,0)</f>
        <v>0</v>
      </c>
      <c r="M28" s="476">
        <f t="shared" si="11"/>
        <v>1653911.6007125233</v>
      </c>
      <c r="N28" s="478">
        <f t="shared" ref="N28" si="13">IF(M28&lt;&gt;0,+H28-M28,0)</f>
        <v>0</v>
      </c>
      <c r="O28" s="478">
        <f t="shared" ref="O28" si="14">+N28-L28</f>
        <v>0</v>
      </c>
      <c r="P28" s="242"/>
    </row>
    <row r="29" spans="2:16" ht="12.5">
      <c r="B29" s="160" t="str">
        <f t="shared" si="6"/>
        <v>IU</v>
      </c>
      <c r="C29" s="472">
        <f>IF(D11="","-",+C28+1)</f>
        <v>2020</v>
      </c>
      <c r="D29" s="479">
        <v>11397931.979105495</v>
      </c>
      <c r="E29" s="480">
        <v>347991.33333333331</v>
      </c>
      <c r="F29" s="479">
        <v>11049940.645772161</v>
      </c>
      <c r="G29" s="480">
        <v>1560230.0708098114</v>
      </c>
      <c r="H29" s="481">
        <v>1560230.0708098114</v>
      </c>
      <c r="I29" s="475">
        <f t="shared" si="0"/>
        <v>0</v>
      </c>
      <c r="J29" s="475"/>
      <c r="K29" s="476">
        <f t="shared" si="10"/>
        <v>1560230.0708098114</v>
      </c>
      <c r="L29" s="550">
        <f t="shared" ref="L29" si="15">IF(K29&lt;&gt;0,+G29-K29,0)</f>
        <v>0</v>
      </c>
      <c r="M29" s="476">
        <f t="shared" si="11"/>
        <v>1560230.0708098114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>IU</v>
      </c>
      <c r="C30" s="472">
        <f>IF(D11="","-",+C29+1)</f>
        <v>2021</v>
      </c>
      <c r="D30" s="479">
        <v>11009341.656883277</v>
      </c>
      <c r="E30" s="480">
        <v>339898.51162790699</v>
      </c>
      <c r="F30" s="479">
        <v>10669443.14525537</v>
      </c>
      <c r="G30" s="480">
        <v>1490295.5116279069</v>
      </c>
      <c r="H30" s="481">
        <v>1490295.5116279069</v>
      </c>
      <c r="I30" s="475">
        <f t="shared" si="0"/>
        <v>0</v>
      </c>
      <c r="J30" s="475"/>
      <c r="K30" s="476">
        <f t="shared" si="10"/>
        <v>1490295.5116279069</v>
      </c>
      <c r="L30" s="550">
        <f t="shared" ref="L30" si="16">IF(K30&lt;&gt;0,+G30-K30,0)</f>
        <v>0</v>
      </c>
      <c r="M30" s="476">
        <f t="shared" si="11"/>
        <v>1490295.5116279069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2022</v>
      </c>
      <c r="D31" s="479">
        <v>10669443.14525537</v>
      </c>
      <c r="E31" s="480">
        <v>347991.33333333331</v>
      </c>
      <c r="F31" s="479">
        <v>10321451.811922036</v>
      </c>
      <c r="G31" s="480">
        <v>1460760.3333333333</v>
      </c>
      <c r="H31" s="481">
        <v>1460760.3333333333</v>
      </c>
      <c r="I31" s="475">
        <f t="shared" si="0"/>
        <v>0</v>
      </c>
      <c r="J31" s="475"/>
      <c r="K31" s="476">
        <f t="shared" ref="K31" si="17">G31</f>
        <v>1460760.3333333333</v>
      </c>
      <c r="L31" s="550">
        <f t="shared" ref="L31" si="18">IF(K31&lt;&gt;0,+G31-K31,0)</f>
        <v>0</v>
      </c>
      <c r="M31" s="476">
        <f t="shared" ref="M31" si="19">H31</f>
        <v>1460760.3333333333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10321451.811922036</v>
      </c>
      <c r="E32" s="484">
        <f>IF(+I14&lt;F31,I14,D32)</f>
        <v>374759.89743589744</v>
      </c>
      <c r="F32" s="485">
        <f t="shared" ref="F32:F72" si="20">+D32-E32</f>
        <v>9946691.9144861382</v>
      </c>
      <c r="G32" s="486">
        <f t="shared" ref="G32:G72" si="21">ROUND(I$12*F32,0)+E32</f>
        <v>1561986.8974358975</v>
      </c>
      <c r="H32" s="455">
        <f t="shared" ref="H32:H72" si="22">ROUND(I$13*F32,0)+E32</f>
        <v>1561986.8974358975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9946691.9144861382</v>
      </c>
      <c r="E33" s="484">
        <f>IF(+I14&lt;F32,I14,D33)</f>
        <v>374759.89743589744</v>
      </c>
      <c r="F33" s="485">
        <f t="shared" si="20"/>
        <v>9571932.0170502402</v>
      </c>
      <c r="G33" s="486">
        <f t="shared" si="21"/>
        <v>1517255.8974358975</v>
      </c>
      <c r="H33" s="455">
        <f t="shared" si="22"/>
        <v>1517255.8974358975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9571932.0170502402</v>
      </c>
      <c r="E34" s="484">
        <f>IF(+I14&lt;F33,I14,D34)</f>
        <v>374759.89743589744</v>
      </c>
      <c r="F34" s="485">
        <f t="shared" si="20"/>
        <v>9197172.1196143422</v>
      </c>
      <c r="G34" s="486">
        <f t="shared" si="21"/>
        <v>1472524.8974358975</v>
      </c>
      <c r="H34" s="455">
        <f t="shared" si="22"/>
        <v>1472524.8974358975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9197172.1196143422</v>
      </c>
      <c r="E35" s="484">
        <f>IF(+I14&lt;F34,I14,D35)</f>
        <v>374759.89743589744</v>
      </c>
      <c r="F35" s="485">
        <f t="shared" si="20"/>
        <v>8822412.2221784443</v>
      </c>
      <c r="G35" s="486">
        <f t="shared" si="21"/>
        <v>1427793.8974358975</v>
      </c>
      <c r="H35" s="455">
        <f t="shared" si="22"/>
        <v>1427793.8974358975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8822412.2221784443</v>
      </c>
      <c r="E36" s="484">
        <f>IF(+I14&lt;F35,I14,D36)</f>
        <v>374759.89743589744</v>
      </c>
      <c r="F36" s="485">
        <f t="shared" si="20"/>
        <v>8447652.3247425463</v>
      </c>
      <c r="G36" s="486">
        <f t="shared" si="21"/>
        <v>1383062.8974358975</v>
      </c>
      <c r="H36" s="455">
        <f t="shared" si="22"/>
        <v>1383062.8974358975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8447652.3247425463</v>
      </c>
      <c r="E37" s="484">
        <f>IF(+I14&lt;F36,I14,D37)</f>
        <v>374759.89743589744</v>
      </c>
      <c r="F37" s="485">
        <f t="shared" si="20"/>
        <v>8072892.4273066493</v>
      </c>
      <c r="G37" s="486">
        <f t="shared" si="21"/>
        <v>1338331.8974358975</v>
      </c>
      <c r="H37" s="455">
        <f t="shared" si="22"/>
        <v>1338331.8974358975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8072892.4273066493</v>
      </c>
      <c r="E38" s="484">
        <f>IF(+I14&lt;F37,I14,D38)</f>
        <v>374759.89743589744</v>
      </c>
      <c r="F38" s="485">
        <f t="shared" si="20"/>
        <v>7698132.5298707522</v>
      </c>
      <c r="G38" s="486">
        <f t="shared" si="21"/>
        <v>1293600.8974358975</v>
      </c>
      <c r="H38" s="455">
        <f t="shared" si="22"/>
        <v>1293600.8974358975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7698132.5298707522</v>
      </c>
      <c r="E39" s="484">
        <f>IF(+I14&lt;F38,I14,D39)</f>
        <v>374759.89743589744</v>
      </c>
      <c r="F39" s="485">
        <f t="shared" si="20"/>
        <v>7323372.6324348552</v>
      </c>
      <c r="G39" s="486">
        <f t="shared" si="21"/>
        <v>1248869.8974358975</v>
      </c>
      <c r="H39" s="455">
        <f t="shared" si="22"/>
        <v>1248869.8974358975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7323372.6324348552</v>
      </c>
      <c r="E40" s="484">
        <f>IF(+I14&lt;F39,I14,D40)</f>
        <v>374759.89743589744</v>
      </c>
      <c r="F40" s="485">
        <f t="shared" si="20"/>
        <v>6948612.7349989582</v>
      </c>
      <c r="G40" s="486">
        <f t="shared" si="21"/>
        <v>1204138.8974358975</v>
      </c>
      <c r="H40" s="455">
        <f t="shared" si="22"/>
        <v>1204138.8974358975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6948612.7349989582</v>
      </c>
      <c r="E41" s="484">
        <f>IF(+I14&lt;F40,I14,D41)</f>
        <v>374759.89743589744</v>
      </c>
      <c r="F41" s="485">
        <f t="shared" si="20"/>
        <v>6573852.8375630612</v>
      </c>
      <c r="G41" s="486">
        <f t="shared" si="21"/>
        <v>1159407.8974358975</v>
      </c>
      <c r="H41" s="455">
        <f t="shared" si="22"/>
        <v>1159407.8974358975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6573852.8375630612</v>
      </c>
      <c r="E42" s="484">
        <f>IF(+I14&lt;F41,I14,D42)</f>
        <v>374759.89743589744</v>
      </c>
      <c r="F42" s="485">
        <f t="shared" si="20"/>
        <v>6199092.9401271641</v>
      </c>
      <c r="G42" s="486">
        <f t="shared" si="21"/>
        <v>1114676.8974358975</v>
      </c>
      <c r="H42" s="455">
        <f t="shared" si="22"/>
        <v>1114676.8974358975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6199092.9401271641</v>
      </c>
      <c r="E43" s="484">
        <f>IF(+I14&lt;F42,I14,D43)</f>
        <v>374759.89743589744</v>
      </c>
      <c r="F43" s="485">
        <f t="shared" si="20"/>
        <v>5824333.0426912671</v>
      </c>
      <c r="G43" s="486">
        <f t="shared" si="21"/>
        <v>1069945.8974358975</v>
      </c>
      <c r="H43" s="455">
        <f t="shared" si="22"/>
        <v>1069945.8974358975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5824333.0426912671</v>
      </c>
      <c r="E44" s="484">
        <f>IF(+I14&lt;F43,I14,D44)</f>
        <v>374759.89743589744</v>
      </c>
      <c r="F44" s="485">
        <f t="shared" si="20"/>
        <v>5449573.1452553701</v>
      </c>
      <c r="G44" s="486">
        <f t="shared" si="21"/>
        <v>1025214.8974358975</v>
      </c>
      <c r="H44" s="455">
        <f t="shared" si="22"/>
        <v>1025214.8974358975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5449573.1452553701</v>
      </c>
      <c r="E45" s="484">
        <f>IF(+I14&lt;F44,I14,D45)</f>
        <v>374759.89743589744</v>
      </c>
      <c r="F45" s="485">
        <f t="shared" si="20"/>
        <v>5074813.247819473</v>
      </c>
      <c r="G45" s="486">
        <f t="shared" si="21"/>
        <v>980483.8974358975</v>
      </c>
      <c r="H45" s="455">
        <f t="shared" si="22"/>
        <v>980483.8974358975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5074813.247819473</v>
      </c>
      <c r="E46" s="484">
        <f>IF(+I14&lt;F45,I14,D46)</f>
        <v>374759.89743589744</v>
      </c>
      <c r="F46" s="485">
        <f t="shared" si="20"/>
        <v>4700053.350383576</v>
      </c>
      <c r="G46" s="486">
        <f t="shared" si="21"/>
        <v>935752.8974358975</v>
      </c>
      <c r="H46" s="455">
        <f t="shared" si="22"/>
        <v>935752.8974358975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4700053.350383576</v>
      </c>
      <c r="E47" s="484">
        <f>IF(+I14&lt;F46,I14,D47)</f>
        <v>374759.89743589744</v>
      </c>
      <c r="F47" s="485">
        <f t="shared" si="20"/>
        <v>4325293.452947679</v>
      </c>
      <c r="G47" s="486">
        <f t="shared" si="21"/>
        <v>891021.8974358975</v>
      </c>
      <c r="H47" s="455">
        <f t="shared" si="22"/>
        <v>891021.8974358975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4325293.452947679</v>
      </c>
      <c r="E48" s="484">
        <f>IF(+I14&lt;F47,I14,D48)</f>
        <v>374759.89743589744</v>
      </c>
      <c r="F48" s="485">
        <f t="shared" si="20"/>
        <v>3950533.5555117815</v>
      </c>
      <c r="G48" s="486">
        <f t="shared" si="21"/>
        <v>846291.8974358975</v>
      </c>
      <c r="H48" s="455">
        <f t="shared" si="22"/>
        <v>846291.8974358975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3950533.5555117815</v>
      </c>
      <c r="E49" s="484">
        <f>IF(+I14&lt;F48,I14,D49)</f>
        <v>374759.89743589744</v>
      </c>
      <c r="F49" s="485">
        <f t="shared" si="20"/>
        <v>3575773.658075884</v>
      </c>
      <c r="G49" s="486">
        <f t="shared" si="21"/>
        <v>801560.8974358975</v>
      </c>
      <c r="H49" s="455">
        <f t="shared" si="22"/>
        <v>801560.8974358975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3575773.658075884</v>
      </c>
      <c r="E50" s="484">
        <f>IF(+I14&lt;F49,I14,D50)</f>
        <v>374759.89743589744</v>
      </c>
      <c r="F50" s="485">
        <f t="shared" si="20"/>
        <v>3201013.7606399865</v>
      </c>
      <c r="G50" s="486">
        <f t="shared" si="21"/>
        <v>756829.8974358975</v>
      </c>
      <c r="H50" s="455">
        <f t="shared" si="22"/>
        <v>756829.8974358975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2"/>
    </row>
    <row r="51" spans="2:16" ht="12.5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3201013.7606399865</v>
      </c>
      <c r="E51" s="484">
        <f>IF(+I14&lt;F50,I14,D51)</f>
        <v>374759.89743589744</v>
      </c>
      <c r="F51" s="485">
        <f t="shared" si="20"/>
        <v>2826253.863204089</v>
      </c>
      <c r="G51" s="486">
        <f t="shared" si="21"/>
        <v>712098.8974358975</v>
      </c>
      <c r="H51" s="455">
        <f t="shared" si="22"/>
        <v>712098.8974358975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2"/>
    </row>
    <row r="52" spans="2:16" ht="12.5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2826253.863204089</v>
      </c>
      <c r="E52" s="484">
        <f>IF(+I14&lt;F51,I14,D52)</f>
        <v>374759.89743589744</v>
      </c>
      <c r="F52" s="485">
        <f t="shared" si="20"/>
        <v>2451493.9657681915</v>
      </c>
      <c r="G52" s="486">
        <f t="shared" si="21"/>
        <v>667367.8974358975</v>
      </c>
      <c r="H52" s="455">
        <f t="shared" si="22"/>
        <v>667367.8974358975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2"/>
    </row>
    <row r="53" spans="2:16" ht="12.5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2451493.9657681915</v>
      </c>
      <c r="E53" s="484">
        <f>IF(+I14&lt;F52,I14,D53)</f>
        <v>374759.89743589744</v>
      </c>
      <c r="F53" s="485">
        <f t="shared" si="20"/>
        <v>2076734.068332294</v>
      </c>
      <c r="G53" s="486">
        <f t="shared" si="21"/>
        <v>622636.8974358975</v>
      </c>
      <c r="H53" s="455">
        <f t="shared" si="22"/>
        <v>622636.8974358975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2"/>
    </row>
    <row r="54" spans="2:16" ht="12.5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2076734.068332294</v>
      </c>
      <c r="E54" s="484">
        <f>IF(+I14&lt;F53,I14,D54)</f>
        <v>374759.89743589744</v>
      </c>
      <c r="F54" s="485">
        <f t="shared" si="20"/>
        <v>1701974.1708963965</v>
      </c>
      <c r="G54" s="486">
        <f t="shared" si="21"/>
        <v>577905.8974358975</v>
      </c>
      <c r="H54" s="455">
        <f t="shared" si="22"/>
        <v>577905.8974358975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2"/>
    </row>
    <row r="55" spans="2:16" ht="12.5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1701974.1708963965</v>
      </c>
      <c r="E55" s="484">
        <f>IF(+I14&lt;F54,I14,D55)</f>
        <v>374759.89743589744</v>
      </c>
      <c r="F55" s="485">
        <f t="shared" si="20"/>
        <v>1327214.273460499</v>
      </c>
      <c r="G55" s="486">
        <f t="shared" si="21"/>
        <v>533174.8974358975</v>
      </c>
      <c r="H55" s="455">
        <f t="shared" si="22"/>
        <v>533174.8974358975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2"/>
    </row>
    <row r="56" spans="2:16" ht="12.5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1327214.273460499</v>
      </c>
      <c r="E56" s="484">
        <f>IF(+I14&lt;F55,I14,D56)</f>
        <v>374759.89743589744</v>
      </c>
      <c r="F56" s="485">
        <f t="shared" si="20"/>
        <v>952454.37602460152</v>
      </c>
      <c r="G56" s="486">
        <f t="shared" si="21"/>
        <v>488443.89743589744</v>
      </c>
      <c r="H56" s="455">
        <f t="shared" si="22"/>
        <v>488443.89743589744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2"/>
    </row>
    <row r="57" spans="2:16" ht="12.5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952454.37602460152</v>
      </c>
      <c r="E57" s="484">
        <f>IF(+I14&lt;F56,I14,D57)</f>
        <v>374759.89743589744</v>
      </c>
      <c r="F57" s="485">
        <f t="shared" si="20"/>
        <v>577694.47858870402</v>
      </c>
      <c r="G57" s="486">
        <f t="shared" si="21"/>
        <v>443712.89743589744</v>
      </c>
      <c r="H57" s="455">
        <f t="shared" si="22"/>
        <v>443712.89743589744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2"/>
    </row>
    <row r="58" spans="2:16" ht="12.5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577694.47858870402</v>
      </c>
      <c r="E58" s="484">
        <f>IF(+I14&lt;F57,I14,D58)</f>
        <v>374759.89743589744</v>
      </c>
      <c r="F58" s="485">
        <f t="shared" si="20"/>
        <v>202934.58115280658</v>
      </c>
      <c r="G58" s="486">
        <f t="shared" si="21"/>
        <v>398981.89743589744</v>
      </c>
      <c r="H58" s="455">
        <f t="shared" si="22"/>
        <v>398981.89743589744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2"/>
    </row>
    <row r="59" spans="2:16" ht="12.5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202934.58115280658</v>
      </c>
      <c r="E59" s="484">
        <f>IF(+I14&lt;F58,I14,D59)</f>
        <v>202934.58115280658</v>
      </c>
      <c r="F59" s="485">
        <f t="shared" si="20"/>
        <v>0</v>
      </c>
      <c r="G59" s="486">
        <f t="shared" si="21"/>
        <v>202934.58115280658</v>
      </c>
      <c r="H59" s="455">
        <f t="shared" si="22"/>
        <v>202934.58115280658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2"/>
    </row>
    <row r="60" spans="2:16" ht="12.5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0"/>
        <v>0</v>
      </c>
      <c r="G60" s="486">
        <f t="shared" si="21"/>
        <v>0</v>
      </c>
      <c r="H60" s="455">
        <f t="shared" si="22"/>
        <v>0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2"/>
    </row>
    <row r="61" spans="2:16" ht="12.5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0"/>
        <v>0</v>
      </c>
      <c r="G61" s="488">
        <f t="shared" si="21"/>
        <v>0</v>
      </c>
      <c r="H61" s="455">
        <f t="shared" si="22"/>
        <v>0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2"/>
    </row>
    <row r="62" spans="2:16" ht="12.5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2"/>
    </row>
    <row r="63" spans="2:16" ht="12.5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2"/>
    </row>
    <row r="64" spans="2:16" ht="12.5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2"/>
    </row>
    <row r="65" spans="2:16" ht="12.5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2"/>
    </row>
    <row r="66" spans="2:16" ht="12.5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2"/>
    </row>
    <row r="67" spans="2:16" ht="12.5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2"/>
    </row>
    <row r="68" spans="2:16" ht="12.5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2"/>
    </row>
    <row r="69" spans="2:16" ht="12.5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2"/>
    </row>
    <row r="70" spans="2:16" ht="12.5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2"/>
    </row>
    <row r="71" spans="2:16" ht="12.5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21"/>
        <v>0</v>
      </c>
      <c r="H72" s="435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2"/>
    </row>
    <row r="73" spans="2:16" ht="12.5">
      <c r="C73" s="346" t="s">
        <v>77</v>
      </c>
      <c r="D73" s="347"/>
      <c r="E73" s="347">
        <f>SUM(E17:E72)</f>
        <v>14615636.000000004</v>
      </c>
      <c r="F73" s="347"/>
      <c r="G73" s="347">
        <f>SUM(G17:G72)</f>
        <v>54156824.80110354</v>
      </c>
      <c r="H73" s="347">
        <f>SUM(H17:H72)</f>
        <v>54156824.80110354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4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 t="str">
        <f>O4</f>
        <v>WFEC DA Adjustment</v>
      </c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IF(J92&lt;D11,0,VLOOKUP(J92,C17:O72,9))-P87</f>
        <v>1474606.7116279069</v>
      </c>
      <c r="N87" s="508">
        <f>IF(J92&lt;D11,0,VLOOKUP(J92,C17:O72,11))-P87</f>
        <v>1474606.7116279069</v>
      </c>
      <c r="O87" s="509">
        <f>+N87-M87</f>
        <v>0</v>
      </c>
      <c r="P87" s="342">
        <f>O5</f>
        <v>15688.800000000001</v>
      </c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IF(J92&lt;D11,0,VLOOKUP(J92,C99:P154,6))-P87</f>
        <v>1558052.2</v>
      </c>
      <c r="N88" s="512">
        <f>IF(J92&lt;D11,0,VLOOKUP(J92,C99:P154,7))-P87</f>
        <v>1558052.2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Cache-Snyder to Altus Jct. 138 kV line (w/2 ring bus stations)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83445.488372093067</v>
      </c>
      <c r="N89" s="517">
        <f>+N88-N87</f>
        <v>83445.488372093067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TP2004147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f>+D10</f>
        <v>14615636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7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356479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560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2008</v>
      </c>
      <c r="D99" s="473">
        <v>0</v>
      </c>
      <c r="E99" s="480">
        <v>114341</v>
      </c>
      <c r="F99" s="479">
        <v>14429811</v>
      </c>
      <c r="G99" s="537">
        <f t="shared" ref="G99:G130" si="27">+(F99+D99)/2</f>
        <v>7214905.5</v>
      </c>
      <c r="H99" s="538">
        <v>1260396</v>
      </c>
      <c r="I99" s="539">
        <v>1260396</v>
      </c>
      <c r="J99" s="478">
        <f t="shared" ref="J99:J131" si="28">+I99-H99</f>
        <v>0</v>
      </c>
      <c r="K99" s="478"/>
      <c r="L99" s="554">
        <v>1260396</v>
      </c>
      <c r="M99" s="477">
        <f t="shared" ref="M99:M130" si="29">IF(L99&lt;&gt;0,+H99-L99,0)</f>
        <v>0</v>
      </c>
      <c r="N99" s="554">
        <f>+L99</f>
        <v>1260396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 ht="12.5">
      <c r="B100" s="160" t="str">
        <f>IF(D100=F99,"","IU")</f>
        <v>IU</v>
      </c>
      <c r="C100" s="472">
        <f>IF(D93="","-",+C99+1)</f>
        <v>2009</v>
      </c>
      <c r="D100" s="473">
        <v>14569170</v>
      </c>
      <c r="E100" s="480">
        <v>262206</v>
      </c>
      <c r="F100" s="479">
        <v>14306964</v>
      </c>
      <c r="G100" s="479">
        <v>14438067</v>
      </c>
      <c r="H100" s="480">
        <v>2373171</v>
      </c>
      <c r="I100" s="481">
        <v>2373171</v>
      </c>
      <c r="J100" s="478">
        <f t="shared" si="28"/>
        <v>0</v>
      </c>
      <c r="K100" s="478"/>
      <c r="L100" s="476">
        <f t="shared" ref="L100:L105" si="32">H100</f>
        <v>2373171</v>
      </c>
      <c r="M100" s="478">
        <f t="shared" si="29"/>
        <v>0</v>
      </c>
      <c r="N100" s="476">
        <f t="shared" ref="N100:N105" si="33">I100</f>
        <v>2373171</v>
      </c>
      <c r="O100" s="478">
        <f t="shared" si="30"/>
        <v>0</v>
      </c>
      <c r="P100" s="478">
        <f t="shared" si="31"/>
        <v>0</v>
      </c>
    </row>
    <row r="101" spans="1:16" ht="12.5">
      <c r="B101" s="160" t="str">
        <f t="shared" ref="B101:B154" si="34">IF(D101=F100,"","IU")</f>
        <v>IU</v>
      </c>
      <c r="C101" s="472">
        <f>IF(D93="","-",+C100+1)</f>
        <v>2010</v>
      </c>
      <c r="D101" s="473">
        <v>14239089</v>
      </c>
      <c r="E101" s="480">
        <v>286581</v>
      </c>
      <c r="F101" s="479">
        <v>13952508</v>
      </c>
      <c r="G101" s="479">
        <v>14095798.5</v>
      </c>
      <c r="H101" s="480">
        <v>2553400</v>
      </c>
      <c r="I101" s="481">
        <v>2553400</v>
      </c>
      <c r="J101" s="478">
        <f t="shared" si="28"/>
        <v>0</v>
      </c>
      <c r="K101" s="478"/>
      <c r="L101" s="540">
        <f t="shared" si="32"/>
        <v>2553400</v>
      </c>
      <c r="M101" s="541">
        <f t="shared" si="29"/>
        <v>0</v>
      </c>
      <c r="N101" s="540">
        <f t="shared" si="33"/>
        <v>2553400</v>
      </c>
      <c r="O101" s="478">
        <f t="shared" si="30"/>
        <v>0</v>
      </c>
      <c r="P101" s="478">
        <f t="shared" si="31"/>
        <v>0</v>
      </c>
    </row>
    <row r="102" spans="1:16" ht="12.5">
      <c r="B102" s="160" t="str">
        <f t="shared" si="34"/>
        <v/>
      </c>
      <c r="C102" s="472">
        <f>IF(D93="","-",+C101+1)</f>
        <v>2011</v>
      </c>
      <c r="D102" s="473">
        <v>13952508</v>
      </c>
      <c r="E102" s="480">
        <v>281070</v>
      </c>
      <c r="F102" s="479">
        <v>13671438</v>
      </c>
      <c r="G102" s="479">
        <v>13811973</v>
      </c>
      <c r="H102" s="480">
        <v>2212169</v>
      </c>
      <c r="I102" s="481">
        <v>2212169</v>
      </c>
      <c r="J102" s="478">
        <f t="shared" si="28"/>
        <v>0</v>
      </c>
      <c r="K102" s="478"/>
      <c r="L102" s="540">
        <f t="shared" si="32"/>
        <v>2212169</v>
      </c>
      <c r="M102" s="541">
        <f t="shared" si="29"/>
        <v>0</v>
      </c>
      <c r="N102" s="540">
        <f t="shared" si="33"/>
        <v>2212169</v>
      </c>
      <c r="O102" s="478">
        <f t="shared" si="30"/>
        <v>0</v>
      </c>
      <c r="P102" s="478">
        <f t="shared" si="31"/>
        <v>0</v>
      </c>
    </row>
    <row r="103" spans="1:16" ht="12.5">
      <c r="B103" s="160" t="str">
        <f t="shared" si="34"/>
        <v/>
      </c>
      <c r="C103" s="472">
        <f>IF(D93="","-",+C102+1)</f>
        <v>2012</v>
      </c>
      <c r="D103" s="473">
        <v>13671438</v>
      </c>
      <c r="E103" s="480">
        <v>281070</v>
      </c>
      <c r="F103" s="479">
        <v>13390368</v>
      </c>
      <c r="G103" s="479">
        <v>13530903</v>
      </c>
      <c r="H103" s="480">
        <v>2227565</v>
      </c>
      <c r="I103" s="481">
        <v>2227565</v>
      </c>
      <c r="J103" s="478">
        <v>0</v>
      </c>
      <c r="K103" s="478"/>
      <c r="L103" s="540">
        <f t="shared" si="32"/>
        <v>2227565</v>
      </c>
      <c r="M103" s="541">
        <f t="shared" ref="M103:M108" si="35">IF(L103&lt;&gt;0,+H103-L103,0)</f>
        <v>0</v>
      </c>
      <c r="N103" s="540">
        <f t="shared" si="33"/>
        <v>2227565</v>
      </c>
      <c r="O103" s="478">
        <f t="shared" ref="O103:O108" si="36">IF(N103&lt;&gt;0,+I103-N103,0)</f>
        <v>0</v>
      </c>
      <c r="P103" s="478">
        <f t="shared" ref="P103:P108" si="37">+O103-M103</f>
        <v>0</v>
      </c>
    </row>
    <row r="104" spans="1:16" ht="12.5">
      <c r="B104" s="160" t="str">
        <f t="shared" si="34"/>
        <v/>
      </c>
      <c r="C104" s="472">
        <f>IF(D93="","-",+C103+1)</f>
        <v>2013</v>
      </c>
      <c r="D104" s="473">
        <v>13390368</v>
      </c>
      <c r="E104" s="480">
        <v>281070</v>
      </c>
      <c r="F104" s="479">
        <v>13109298</v>
      </c>
      <c r="G104" s="479">
        <v>13249833</v>
      </c>
      <c r="H104" s="480">
        <v>2188246</v>
      </c>
      <c r="I104" s="481">
        <v>2188246</v>
      </c>
      <c r="J104" s="478">
        <v>0</v>
      </c>
      <c r="K104" s="478"/>
      <c r="L104" s="540">
        <f t="shared" si="32"/>
        <v>2188246</v>
      </c>
      <c r="M104" s="541">
        <f t="shared" si="35"/>
        <v>0</v>
      </c>
      <c r="N104" s="540">
        <f t="shared" si="33"/>
        <v>2188246</v>
      </c>
      <c r="O104" s="478">
        <f t="shared" si="36"/>
        <v>0</v>
      </c>
      <c r="P104" s="478">
        <f t="shared" si="37"/>
        <v>0</v>
      </c>
    </row>
    <row r="105" spans="1:16" ht="12.5">
      <c r="B105" s="160" t="str">
        <f t="shared" si="34"/>
        <v/>
      </c>
      <c r="C105" s="472">
        <f>IF(D93="","-",+C104+1)</f>
        <v>2014</v>
      </c>
      <c r="D105" s="473">
        <v>13109298</v>
      </c>
      <c r="E105" s="480">
        <v>281070</v>
      </c>
      <c r="F105" s="479">
        <v>12828228</v>
      </c>
      <c r="G105" s="479">
        <v>12968763</v>
      </c>
      <c r="H105" s="480">
        <v>2104425</v>
      </c>
      <c r="I105" s="481">
        <v>2104425</v>
      </c>
      <c r="J105" s="478">
        <v>0</v>
      </c>
      <c r="K105" s="478"/>
      <c r="L105" s="540">
        <f t="shared" si="32"/>
        <v>2104425</v>
      </c>
      <c r="M105" s="541">
        <f t="shared" si="35"/>
        <v>0</v>
      </c>
      <c r="N105" s="540">
        <f t="shared" si="33"/>
        <v>2104425</v>
      </c>
      <c r="O105" s="478">
        <f t="shared" si="36"/>
        <v>0</v>
      </c>
      <c r="P105" s="478">
        <f t="shared" si="37"/>
        <v>0</v>
      </c>
    </row>
    <row r="106" spans="1:16" ht="12.5">
      <c r="B106" s="160" t="str">
        <f t="shared" si="34"/>
        <v/>
      </c>
      <c r="C106" s="472">
        <f>IF(D93="","-",+C105+1)</f>
        <v>2015</v>
      </c>
      <c r="D106" s="473">
        <v>12828228</v>
      </c>
      <c r="E106" s="480">
        <v>281070</v>
      </c>
      <c r="F106" s="479">
        <v>12547158</v>
      </c>
      <c r="G106" s="479">
        <v>12687693</v>
      </c>
      <c r="H106" s="480">
        <v>2012204</v>
      </c>
      <c r="I106" s="481">
        <v>2012204</v>
      </c>
      <c r="J106" s="478">
        <f t="shared" si="28"/>
        <v>0</v>
      </c>
      <c r="K106" s="478"/>
      <c r="L106" s="540">
        <f t="shared" ref="L106:L111" si="38">H106</f>
        <v>2012204</v>
      </c>
      <c r="M106" s="541">
        <f t="shared" si="35"/>
        <v>0</v>
      </c>
      <c r="N106" s="540">
        <f t="shared" ref="N106:N111" si="39">I106</f>
        <v>2012204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4"/>
        <v/>
      </c>
      <c r="C107" s="472">
        <f>IF(D93="","-",+C106+1)</f>
        <v>2016</v>
      </c>
      <c r="D107" s="473">
        <v>12547158</v>
      </c>
      <c r="E107" s="480">
        <v>317731</v>
      </c>
      <c r="F107" s="479">
        <v>12229427</v>
      </c>
      <c r="G107" s="479">
        <v>12388292.5</v>
      </c>
      <c r="H107" s="480">
        <v>1914777</v>
      </c>
      <c r="I107" s="481">
        <v>1914777</v>
      </c>
      <c r="J107" s="478">
        <f t="shared" si="28"/>
        <v>0</v>
      </c>
      <c r="K107" s="478"/>
      <c r="L107" s="540">
        <f t="shared" si="38"/>
        <v>1914777</v>
      </c>
      <c r="M107" s="541">
        <f t="shared" si="35"/>
        <v>0</v>
      </c>
      <c r="N107" s="540">
        <f t="shared" si="39"/>
        <v>1914777</v>
      </c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4"/>
        <v/>
      </c>
      <c r="C108" s="472">
        <f>IF(D93="","-",+C107+1)</f>
        <v>2017</v>
      </c>
      <c r="D108" s="473">
        <v>12229427</v>
      </c>
      <c r="E108" s="480">
        <v>317731</v>
      </c>
      <c r="F108" s="479">
        <v>11911696</v>
      </c>
      <c r="G108" s="479">
        <v>12070561.5</v>
      </c>
      <c r="H108" s="480">
        <v>1848912</v>
      </c>
      <c r="I108" s="481">
        <v>1848912</v>
      </c>
      <c r="J108" s="478">
        <f t="shared" si="28"/>
        <v>0</v>
      </c>
      <c r="K108" s="478"/>
      <c r="L108" s="540">
        <f t="shared" si="38"/>
        <v>1848912</v>
      </c>
      <c r="M108" s="541">
        <f t="shared" si="35"/>
        <v>0</v>
      </c>
      <c r="N108" s="540">
        <f t="shared" si="39"/>
        <v>1848912</v>
      </c>
      <c r="O108" s="478">
        <f t="shared" si="36"/>
        <v>0</v>
      </c>
      <c r="P108" s="478">
        <f t="shared" si="37"/>
        <v>0</v>
      </c>
    </row>
    <row r="109" spans="1:16" ht="12.5">
      <c r="B109" s="160" t="str">
        <f t="shared" si="34"/>
        <v/>
      </c>
      <c r="C109" s="472">
        <f>IF(D93="","-",+C108+1)</f>
        <v>2018</v>
      </c>
      <c r="D109" s="473">
        <v>11911696</v>
      </c>
      <c r="E109" s="480">
        <v>339899</v>
      </c>
      <c r="F109" s="479">
        <v>11571797</v>
      </c>
      <c r="G109" s="479">
        <v>11741746.5</v>
      </c>
      <c r="H109" s="480">
        <v>1546194</v>
      </c>
      <c r="I109" s="481">
        <v>1546194</v>
      </c>
      <c r="J109" s="478">
        <f t="shared" si="28"/>
        <v>0</v>
      </c>
      <c r="K109" s="478"/>
      <c r="L109" s="540">
        <f t="shared" si="38"/>
        <v>1546194</v>
      </c>
      <c r="M109" s="541">
        <f t="shared" ref="M109" si="40">IF(L109&lt;&gt;0,+H109-L109,0)</f>
        <v>0</v>
      </c>
      <c r="N109" s="540">
        <f t="shared" si="39"/>
        <v>1546194</v>
      </c>
      <c r="O109" s="478">
        <f t="shared" ref="O109" si="41">IF(N109&lt;&gt;0,+I109-N109,0)</f>
        <v>0</v>
      </c>
      <c r="P109" s="478">
        <f t="shared" ref="P109" si="42">+O109-M109</f>
        <v>0</v>
      </c>
    </row>
    <row r="110" spans="1:16" ht="12.5">
      <c r="B110" s="160" t="str">
        <f t="shared" si="34"/>
        <v/>
      </c>
      <c r="C110" s="472">
        <f>IF(D93="","-",+C109+1)</f>
        <v>2019</v>
      </c>
      <c r="D110" s="473">
        <v>11571797</v>
      </c>
      <c r="E110" s="480">
        <v>356479</v>
      </c>
      <c r="F110" s="479">
        <v>11215318</v>
      </c>
      <c r="G110" s="479">
        <v>11393557.5</v>
      </c>
      <c r="H110" s="480">
        <v>1531315</v>
      </c>
      <c r="I110" s="481">
        <v>1531315</v>
      </c>
      <c r="J110" s="478">
        <f t="shared" si="28"/>
        <v>0</v>
      </c>
      <c r="K110" s="478"/>
      <c r="L110" s="540">
        <f t="shared" si="38"/>
        <v>1531315</v>
      </c>
      <c r="M110" s="541">
        <f t="shared" ref="M110:M111" si="43">IF(L110&lt;&gt;0,+H110-L110,0)</f>
        <v>0</v>
      </c>
      <c r="N110" s="540">
        <f t="shared" si="39"/>
        <v>1531315</v>
      </c>
      <c r="O110" s="478">
        <f t="shared" si="30"/>
        <v>0</v>
      </c>
      <c r="P110" s="478">
        <f t="shared" si="31"/>
        <v>0</v>
      </c>
    </row>
    <row r="111" spans="1:16" ht="12.5">
      <c r="B111" s="160" t="str">
        <f t="shared" si="34"/>
        <v/>
      </c>
      <c r="C111" s="472">
        <f>IF(D93="","-",+C110+1)</f>
        <v>2020</v>
      </c>
      <c r="D111" s="473">
        <v>11215318</v>
      </c>
      <c r="E111" s="480">
        <v>339899</v>
      </c>
      <c r="F111" s="479">
        <v>10875419</v>
      </c>
      <c r="G111" s="479">
        <v>11045368.5</v>
      </c>
      <c r="H111" s="480">
        <v>1613399.6213131989</v>
      </c>
      <c r="I111" s="481">
        <v>1613399.6213131989</v>
      </c>
      <c r="J111" s="478">
        <f t="shared" si="28"/>
        <v>0</v>
      </c>
      <c r="K111" s="478"/>
      <c r="L111" s="540">
        <f t="shared" si="38"/>
        <v>1613399.6213131989</v>
      </c>
      <c r="M111" s="541">
        <f t="shared" si="43"/>
        <v>0</v>
      </c>
      <c r="N111" s="540">
        <f t="shared" si="39"/>
        <v>1613399.6213131989</v>
      </c>
      <c r="O111" s="478">
        <f t="shared" si="30"/>
        <v>0</v>
      </c>
      <c r="P111" s="478">
        <f t="shared" si="31"/>
        <v>0</v>
      </c>
    </row>
    <row r="112" spans="1:16" ht="12.5">
      <c r="B112" s="160" t="str">
        <f t="shared" si="34"/>
        <v/>
      </c>
      <c r="C112" s="472">
        <f>IF(D93="","-",+C111+1)</f>
        <v>2021</v>
      </c>
      <c r="D112" s="346">
        <f>IF(F111+SUM(E$99:E111)=D$92,F111,D$92-SUM(E$99:E111))</f>
        <v>10875419</v>
      </c>
      <c r="E112" s="486">
        <f>IF(+J96&lt;F111,J96,D112)</f>
        <v>356479</v>
      </c>
      <c r="F112" s="485">
        <f t="shared" ref="F112:F130" si="44">+D112-E112</f>
        <v>10518940</v>
      </c>
      <c r="G112" s="485">
        <f t="shared" si="27"/>
        <v>10697179.5</v>
      </c>
      <c r="H112" s="488">
        <f t="shared" ref="H112:H154" si="45">ROUND(J$94*G112,0)+E112</f>
        <v>1573741</v>
      </c>
      <c r="I112" s="542">
        <f t="shared" ref="I112:I154" si="46">ROUND(J$95*G112,0)+E112</f>
        <v>1573741</v>
      </c>
      <c r="J112" s="478">
        <f t="shared" si="28"/>
        <v>0</v>
      </c>
      <c r="K112" s="478"/>
      <c r="L112" s="487"/>
      <c r="M112" s="478">
        <f t="shared" si="29"/>
        <v>0</v>
      </c>
      <c r="N112" s="487"/>
      <c r="O112" s="478">
        <f t="shared" si="30"/>
        <v>0</v>
      </c>
      <c r="P112" s="478">
        <f t="shared" si="31"/>
        <v>0</v>
      </c>
    </row>
    <row r="113" spans="2:16" ht="12.5">
      <c r="B113" s="160" t="str">
        <f t="shared" si="34"/>
        <v/>
      </c>
      <c r="C113" s="472">
        <f>IF(D93="","-",+C112+1)</f>
        <v>2022</v>
      </c>
      <c r="D113" s="346">
        <f>IF(F112+SUM(E$99:E112)=D$92,F112,D$92-SUM(E$99:E112))</f>
        <v>10518940</v>
      </c>
      <c r="E113" s="486">
        <f>IF(+J96&lt;F112,J96,D113)</f>
        <v>356479</v>
      </c>
      <c r="F113" s="485">
        <f t="shared" si="44"/>
        <v>10162461</v>
      </c>
      <c r="G113" s="485">
        <f t="shared" si="27"/>
        <v>10340700.5</v>
      </c>
      <c r="H113" s="488">
        <f t="shared" si="45"/>
        <v>1533176</v>
      </c>
      <c r="I113" s="542">
        <f t="shared" si="46"/>
        <v>1533176</v>
      </c>
      <c r="J113" s="478">
        <f t="shared" si="28"/>
        <v>0</v>
      </c>
      <c r="K113" s="478"/>
      <c r="L113" s="487"/>
      <c r="M113" s="478">
        <f t="shared" si="29"/>
        <v>0</v>
      </c>
      <c r="N113" s="487"/>
      <c r="O113" s="478">
        <f t="shared" si="30"/>
        <v>0</v>
      </c>
      <c r="P113" s="478">
        <f t="shared" si="31"/>
        <v>0</v>
      </c>
    </row>
    <row r="114" spans="2:16" ht="12.5">
      <c r="B114" s="160" t="str">
        <f t="shared" si="34"/>
        <v/>
      </c>
      <c r="C114" s="472">
        <f>IF(D93="","-",+C113+1)</f>
        <v>2023</v>
      </c>
      <c r="D114" s="346">
        <f>IF(F113+SUM(E$99:E113)=D$92,F113,D$92-SUM(E$99:E113))</f>
        <v>10162461</v>
      </c>
      <c r="E114" s="486">
        <f>IF(+J96&lt;F113,J96,D114)</f>
        <v>356479</v>
      </c>
      <c r="F114" s="485">
        <f t="shared" si="44"/>
        <v>9805982</v>
      </c>
      <c r="G114" s="485">
        <f t="shared" si="27"/>
        <v>9984221.5</v>
      </c>
      <c r="H114" s="488">
        <f t="shared" si="45"/>
        <v>1492611</v>
      </c>
      <c r="I114" s="542">
        <f t="shared" si="46"/>
        <v>1492611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 ht="12.5">
      <c r="B115" s="160" t="str">
        <f t="shared" si="34"/>
        <v/>
      </c>
      <c r="C115" s="472">
        <f>IF(D93="","-",+C114+1)</f>
        <v>2024</v>
      </c>
      <c r="D115" s="346">
        <f>IF(F114+SUM(E$99:E114)=D$92,F114,D$92-SUM(E$99:E114))</f>
        <v>9805982</v>
      </c>
      <c r="E115" s="486">
        <f>IF(+J96&lt;F114,J96,D115)</f>
        <v>356479</v>
      </c>
      <c r="F115" s="485">
        <f t="shared" si="44"/>
        <v>9449503</v>
      </c>
      <c r="G115" s="485">
        <f t="shared" si="27"/>
        <v>9627742.5</v>
      </c>
      <c r="H115" s="488">
        <f t="shared" si="45"/>
        <v>1452047</v>
      </c>
      <c r="I115" s="542">
        <f t="shared" si="46"/>
        <v>1452047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 ht="12.5">
      <c r="B116" s="160" t="str">
        <f t="shared" si="34"/>
        <v/>
      </c>
      <c r="C116" s="472">
        <f>IF(D93="","-",+C115+1)</f>
        <v>2025</v>
      </c>
      <c r="D116" s="346">
        <f>IF(F115+SUM(E$99:E115)=D$92,F115,D$92-SUM(E$99:E115))</f>
        <v>9449503</v>
      </c>
      <c r="E116" s="486">
        <f>IF(+J96&lt;F115,J96,D116)</f>
        <v>356479</v>
      </c>
      <c r="F116" s="485">
        <f t="shared" si="44"/>
        <v>9093024</v>
      </c>
      <c r="G116" s="485">
        <f t="shared" si="27"/>
        <v>9271263.5</v>
      </c>
      <c r="H116" s="488">
        <f t="shared" si="45"/>
        <v>1411482</v>
      </c>
      <c r="I116" s="542">
        <f t="shared" si="46"/>
        <v>1411482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 ht="12.5">
      <c r="B117" s="160" t="str">
        <f t="shared" si="34"/>
        <v/>
      </c>
      <c r="C117" s="472">
        <f>IF(D93="","-",+C116+1)</f>
        <v>2026</v>
      </c>
      <c r="D117" s="346">
        <f>IF(F116+SUM(E$99:E116)=D$92,F116,D$92-SUM(E$99:E116))</f>
        <v>9093024</v>
      </c>
      <c r="E117" s="486">
        <f>IF(+J96&lt;F116,J96,D117)</f>
        <v>356479</v>
      </c>
      <c r="F117" s="485">
        <f t="shared" si="44"/>
        <v>8736545</v>
      </c>
      <c r="G117" s="485">
        <f t="shared" si="27"/>
        <v>8914784.5</v>
      </c>
      <c r="H117" s="488">
        <f t="shared" si="45"/>
        <v>1370917</v>
      </c>
      <c r="I117" s="542">
        <f t="shared" si="46"/>
        <v>1370917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 ht="12.5">
      <c r="B118" s="160" t="str">
        <f t="shared" si="34"/>
        <v/>
      </c>
      <c r="C118" s="472">
        <f>IF(D93="","-",+C117+1)</f>
        <v>2027</v>
      </c>
      <c r="D118" s="346">
        <f>IF(F117+SUM(E$99:E117)=D$92,F117,D$92-SUM(E$99:E117))</f>
        <v>8736545</v>
      </c>
      <c r="E118" s="486">
        <f>IF(+J96&lt;F117,J96,D118)</f>
        <v>356479</v>
      </c>
      <c r="F118" s="485">
        <f t="shared" si="44"/>
        <v>8380066</v>
      </c>
      <c r="G118" s="485">
        <f t="shared" si="27"/>
        <v>8558305.5</v>
      </c>
      <c r="H118" s="488">
        <f t="shared" si="45"/>
        <v>1330352</v>
      </c>
      <c r="I118" s="542">
        <f t="shared" si="46"/>
        <v>1330352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 ht="12.5">
      <c r="B119" s="160" t="str">
        <f t="shared" si="34"/>
        <v/>
      </c>
      <c r="C119" s="472">
        <f>IF(D93="","-",+C118+1)</f>
        <v>2028</v>
      </c>
      <c r="D119" s="346">
        <f>IF(F118+SUM(E$99:E118)=D$92,F118,D$92-SUM(E$99:E118))</f>
        <v>8380066</v>
      </c>
      <c r="E119" s="486">
        <f>IF(+J96&lt;F118,J96,D119)</f>
        <v>356479</v>
      </c>
      <c r="F119" s="485">
        <f t="shared" si="44"/>
        <v>8023587</v>
      </c>
      <c r="G119" s="485">
        <f t="shared" si="27"/>
        <v>8201826.5</v>
      </c>
      <c r="H119" s="488">
        <f t="shared" si="45"/>
        <v>1289788</v>
      </c>
      <c r="I119" s="542">
        <f t="shared" si="46"/>
        <v>1289788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 ht="12.5">
      <c r="B120" s="160" t="str">
        <f t="shared" si="34"/>
        <v/>
      </c>
      <c r="C120" s="472">
        <f>IF(D93="","-",+C119+1)</f>
        <v>2029</v>
      </c>
      <c r="D120" s="346">
        <f>IF(F119+SUM(E$99:E119)=D$92,F119,D$92-SUM(E$99:E119))</f>
        <v>8023587</v>
      </c>
      <c r="E120" s="486">
        <f>IF(+J96&lt;F119,J96,D120)</f>
        <v>356479</v>
      </c>
      <c r="F120" s="485">
        <f t="shared" si="44"/>
        <v>7667108</v>
      </c>
      <c r="G120" s="485">
        <f t="shared" si="27"/>
        <v>7845347.5</v>
      </c>
      <c r="H120" s="488">
        <f t="shared" si="45"/>
        <v>1249223</v>
      </c>
      <c r="I120" s="542">
        <f t="shared" si="46"/>
        <v>1249223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 ht="12.5">
      <c r="B121" s="160" t="str">
        <f t="shared" si="34"/>
        <v/>
      </c>
      <c r="C121" s="472">
        <f>IF(D93="","-",+C120+1)</f>
        <v>2030</v>
      </c>
      <c r="D121" s="346">
        <f>IF(F120+SUM(E$99:E120)=D$92,F120,D$92-SUM(E$99:E120))</f>
        <v>7667108</v>
      </c>
      <c r="E121" s="486">
        <f>IF(+J96&lt;F120,J96,D121)</f>
        <v>356479</v>
      </c>
      <c r="F121" s="485">
        <f t="shared" si="44"/>
        <v>7310629</v>
      </c>
      <c r="G121" s="485">
        <f t="shared" si="27"/>
        <v>7488868.5</v>
      </c>
      <c r="H121" s="488">
        <f t="shared" si="45"/>
        <v>1208658</v>
      </c>
      <c r="I121" s="542">
        <f t="shared" si="46"/>
        <v>1208658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 ht="12.5">
      <c r="B122" s="160" t="str">
        <f t="shared" si="34"/>
        <v/>
      </c>
      <c r="C122" s="472">
        <f>IF(D93="","-",+C121+1)</f>
        <v>2031</v>
      </c>
      <c r="D122" s="346">
        <f>IF(F121+SUM(E$99:E121)=D$92,F121,D$92-SUM(E$99:E121))</f>
        <v>7310629</v>
      </c>
      <c r="E122" s="486">
        <f>IF(+J96&lt;F121,J96,D122)</f>
        <v>356479</v>
      </c>
      <c r="F122" s="485">
        <f t="shared" si="44"/>
        <v>6954150</v>
      </c>
      <c r="G122" s="485">
        <f t="shared" si="27"/>
        <v>7132389.5</v>
      </c>
      <c r="H122" s="488">
        <f t="shared" si="45"/>
        <v>1168094</v>
      </c>
      <c r="I122" s="542">
        <f t="shared" si="46"/>
        <v>1168094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 ht="12.5">
      <c r="B123" s="160" t="str">
        <f t="shared" si="34"/>
        <v/>
      </c>
      <c r="C123" s="472">
        <f>IF(D93="","-",+C122+1)</f>
        <v>2032</v>
      </c>
      <c r="D123" s="346">
        <f>IF(F122+SUM(E$99:E122)=D$92,F122,D$92-SUM(E$99:E122))</f>
        <v>6954150</v>
      </c>
      <c r="E123" s="486">
        <f>IF(+J96&lt;F122,J96,D123)</f>
        <v>356479</v>
      </c>
      <c r="F123" s="485">
        <f t="shared" si="44"/>
        <v>6597671</v>
      </c>
      <c r="G123" s="485">
        <f t="shared" si="27"/>
        <v>6775910.5</v>
      </c>
      <c r="H123" s="488">
        <f t="shared" si="45"/>
        <v>1127529</v>
      </c>
      <c r="I123" s="542">
        <f t="shared" si="46"/>
        <v>1127529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 ht="12.5">
      <c r="B124" s="160" t="str">
        <f t="shared" si="34"/>
        <v/>
      </c>
      <c r="C124" s="472">
        <f>IF(D93="","-",+C123+1)</f>
        <v>2033</v>
      </c>
      <c r="D124" s="346">
        <f>IF(F123+SUM(E$99:E123)=D$92,F123,D$92-SUM(E$99:E123))</f>
        <v>6597671</v>
      </c>
      <c r="E124" s="486">
        <f>IF(+J96&lt;F123,J96,D124)</f>
        <v>356479</v>
      </c>
      <c r="F124" s="485">
        <f t="shared" si="44"/>
        <v>6241192</v>
      </c>
      <c r="G124" s="485">
        <f t="shared" si="27"/>
        <v>6419431.5</v>
      </c>
      <c r="H124" s="488">
        <f t="shared" si="45"/>
        <v>1086964</v>
      </c>
      <c r="I124" s="542">
        <f t="shared" si="46"/>
        <v>1086964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 ht="12.5">
      <c r="B125" s="160" t="str">
        <f t="shared" si="34"/>
        <v/>
      </c>
      <c r="C125" s="472">
        <f>IF(D93="","-",+C124+1)</f>
        <v>2034</v>
      </c>
      <c r="D125" s="346">
        <f>IF(F124+SUM(E$99:E124)=D$92,F124,D$92-SUM(E$99:E124))</f>
        <v>6241192</v>
      </c>
      <c r="E125" s="486">
        <f>IF(+J96&lt;F124,J96,D125)</f>
        <v>356479</v>
      </c>
      <c r="F125" s="485">
        <f t="shared" si="44"/>
        <v>5884713</v>
      </c>
      <c r="G125" s="485">
        <f t="shared" si="27"/>
        <v>6062952.5</v>
      </c>
      <c r="H125" s="488">
        <f t="shared" si="45"/>
        <v>1046399</v>
      </c>
      <c r="I125" s="542">
        <f t="shared" si="46"/>
        <v>1046399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 ht="12.5">
      <c r="B126" s="160" t="str">
        <f t="shared" si="34"/>
        <v/>
      </c>
      <c r="C126" s="472">
        <f>IF(D93="","-",+C125+1)</f>
        <v>2035</v>
      </c>
      <c r="D126" s="346">
        <f>IF(F125+SUM(E$99:E125)=D$92,F125,D$92-SUM(E$99:E125))</f>
        <v>5884713</v>
      </c>
      <c r="E126" s="486">
        <f>IF(+J96&lt;F125,J96,D126)</f>
        <v>356479</v>
      </c>
      <c r="F126" s="485">
        <f t="shared" si="44"/>
        <v>5528234</v>
      </c>
      <c r="G126" s="485">
        <f t="shared" si="27"/>
        <v>5706473.5</v>
      </c>
      <c r="H126" s="488">
        <f t="shared" si="45"/>
        <v>1005835</v>
      </c>
      <c r="I126" s="542">
        <f t="shared" si="46"/>
        <v>1005835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 ht="12.5">
      <c r="B127" s="160" t="str">
        <f t="shared" si="34"/>
        <v/>
      </c>
      <c r="C127" s="472">
        <f>IF(D93="","-",+C126+1)</f>
        <v>2036</v>
      </c>
      <c r="D127" s="346">
        <f>IF(F126+SUM(E$99:E126)=D$92,F126,D$92-SUM(E$99:E126))</f>
        <v>5528234</v>
      </c>
      <c r="E127" s="486">
        <f>IF(+J96&lt;F126,J96,D127)</f>
        <v>356479</v>
      </c>
      <c r="F127" s="485">
        <f t="shared" si="44"/>
        <v>5171755</v>
      </c>
      <c r="G127" s="485">
        <f t="shared" si="27"/>
        <v>5349994.5</v>
      </c>
      <c r="H127" s="488">
        <f t="shared" si="45"/>
        <v>965270</v>
      </c>
      <c r="I127" s="542">
        <f t="shared" si="46"/>
        <v>965270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 ht="12.5">
      <c r="B128" s="160" t="str">
        <f t="shared" si="34"/>
        <v/>
      </c>
      <c r="C128" s="472">
        <f>IF(D93="","-",+C127+1)</f>
        <v>2037</v>
      </c>
      <c r="D128" s="346">
        <f>IF(F127+SUM(E$99:E127)=D$92,F127,D$92-SUM(E$99:E127))</f>
        <v>5171755</v>
      </c>
      <c r="E128" s="486">
        <f>IF(+J96&lt;F127,J96,D128)</f>
        <v>356479</v>
      </c>
      <c r="F128" s="485">
        <f t="shared" si="44"/>
        <v>4815276</v>
      </c>
      <c r="G128" s="485">
        <f t="shared" si="27"/>
        <v>4993515.5</v>
      </c>
      <c r="H128" s="488">
        <f t="shared" si="45"/>
        <v>924705</v>
      </c>
      <c r="I128" s="542">
        <f t="shared" si="46"/>
        <v>924705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 ht="12.5">
      <c r="B129" s="160" t="str">
        <f t="shared" si="34"/>
        <v/>
      </c>
      <c r="C129" s="472">
        <f>IF(D93="","-",+C128+1)</f>
        <v>2038</v>
      </c>
      <c r="D129" s="346">
        <f>IF(F128+SUM(E$99:E128)=D$92,F128,D$92-SUM(E$99:E128))</f>
        <v>4815276</v>
      </c>
      <c r="E129" s="486">
        <f>IF(+J96&lt;F128,J96,D129)</f>
        <v>356479</v>
      </c>
      <c r="F129" s="485">
        <f t="shared" si="44"/>
        <v>4458797</v>
      </c>
      <c r="G129" s="485">
        <f t="shared" si="27"/>
        <v>4637036.5</v>
      </c>
      <c r="H129" s="488">
        <f t="shared" si="45"/>
        <v>884140</v>
      </c>
      <c r="I129" s="542">
        <f t="shared" si="46"/>
        <v>884140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 ht="12.5">
      <c r="B130" s="160" t="str">
        <f t="shared" si="34"/>
        <v/>
      </c>
      <c r="C130" s="472">
        <f>IF(D93="","-",+C129+1)</f>
        <v>2039</v>
      </c>
      <c r="D130" s="346">
        <f>IF(F129+SUM(E$99:E129)=D$92,F129,D$92-SUM(E$99:E129))</f>
        <v>4458797</v>
      </c>
      <c r="E130" s="486">
        <f>IF(+J96&lt;F129,J96,D130)</f>
        <v>356479</v>
      </c>
      <c r="F130" s="485">
        <f t="shared" si="44"/>
        <v>4102318</v>
      </c>
      <c r="G130" s="485">
        <f t="shared" si="27"/>
        <v>4280557.5</v>
      </c>
      <c r="H130" s="488">
        <f t="shared" si="45"/>
        <v>843576</v>
      </c>
      <c r="I130" s="542">
        <f t="shared" si="46"/>
        <v>843576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 ht="12.5">
      <c r="B131" s="160" t="str">
        <f t="shared" si="34"/>
        <v/>
      </c>
      <c r="C131" s="472">
        <f>IF(D93="","-",+C130+1)</f>
        <v>2040</v>
      </c>
      <c r="D131" s="346">
        <f>IF(F130+SUM(E$99:E130)=D$92,F130,D$92-SUM(E$99:E130))</f>
        <v>4102318</v>
      </c>
      <c r="E131" s="486">
        <f>IF(+J96&lt;F130,J96,D131)</f>
        <v>356479</v>
      </c>
      <c r="F131" s="485">
        <f t="shared" ref="F131:F154" si="47">+D131-E131</f>
        <v>3745839</v>
      </c>
      <c r="G131" s="485">
        <f t="shared" ref="G131:G154" si="48">+(F131+D131)/2</f>
        <v>3924078.5</v>
      </c>
      <c r="H131" s="488">
        <f t="shared" si="45"/>
        <v>803011</v>
      </c>
      <c r="I131" s="542">
        <f t="shared" si="46"/>
        <v>803011</v>
      </c>
      <c r="J131" s="478">
        <f t="shared" si="28"/>
        <v>0</v>
      </c>
      <c r="K131" s="478"/>
      <c r="L131" s="487"/>
      <c r="M131" s="478">
        <f t="shared" ref="M131:M154" si="49">IF(L131&lt;&gt;0,+H131-L131,0)</f>
        <v>0</v>
      </c>
      <c r="N131" s="487"/>
      <c r="O131" s="478">
        <f t="shared" ref="O131:O154" si="50">IF(N131&lt;&gt;0,+I131-N131,0)</f>
        <v>0</v>
      </c>
      <c r="P131" s="478">
        <f t="shared" ref="P131:P154" si="51">+O131-M131</f>
        <v>0</v>
      </c>
    </row>
    <row r="132" spans="2:16" ht="12.5">
      <c r="B132" s="160" t="str">
        <f t="shared" si="34"/>
        <v/>
      </c>
      <c r="C132" s="472">
        <f>IF(D93="","-",+C131+1)</f>
        <v>2041</v>
      </c>
      <c r="D132" s="346">
        <f>IF(F131+SUM(E$99:E131)=D$92,F131,D$92-SUM(E$99:E131))</f>
        <v>3745839</v>
      </c>
      <c r="E132" s="486">
        <f>IF(+J96&lt;F131,J96,D132)</f>
        <v>356479</v>
      </c>
      <c r="F132" s="485">
        <f t="shared" si="47"/>
        <v>3389360</v>
      </c>
      <c r="G132" s="485">
        <f t="shared" si="48"/>
        <v>3567599.5</v>
      </c>
      <c r="H132" s="488">
        <f t="shared" si="45"/>
        <v>762446</v>
      </c>
      <c r="I132" s="542">
        <f t="shared" si="46"/>
        <v>762446</v>
      </c>
      <c r="J132" s="478">
        <f t="shared" ref="J132:J154" si="52">+I132-H132</f>
        <v>0</v>
      </c>
      <c r="K132" s="478"/>
      <c r="L132" s="487"/>
      <c r="M132" s="478">
        <f t="shared" si="49"/>
        <v>0</v>
      </c>
      <c r="N132" s="487"/>
      <c r="O132" s="478">
        <f t="shared" si="50"/>
        <v>0</v>
      </c>
      <c r="P132" s="478">
        <f t="shared" si="51"/>
        <v>0</v>
      </c>
    </row>
    <row r="133" spans="2:16" ht="12.5">
      <c r="B133" s="160" t="str">
        <f t="shared" si="34"/>
        <v/>
      </c>
      <c r="C133" s="472">
        <f>IF(D93="","-",+C132+1)</f>
        <v>2042</v>
      </c>
      <c r="D133" s="346">
        <f>IF(F132+SUM(E$99:E132)=D$92,F132,D$92-SUM(E$99:E132))</f>
        <v>3389360</v>
      </c>
      <c r="E133" s="486">
        <f>IF(+J96&lt;F132,J96,D133)</f>
        <v>356479</v>
      </c>
      <c r="F133" s="485">
        <f t="shared" si="47"/>
        <v>3032881</v>
      </c>
      <c r="G133" s="485">
        <f t="shared" si="48"/>
        <v>3211120.5</v>
      </c>
      <c r="H133" s="488">
        <f t="shared" si="45"/>
        <v>721881</v>
      </c>
      <c r="I133" s="542">
        <f t="shared" si="46"/>
        <v>721881</v>
      </c>
      <c r="J133" s="478">
        <f t="shared" si="52"/>
        <v>0</v>
      </c>
      <c r="K133" s="478"/>
      <c r="L133" s="487"/>
      <c r="M133" s="478">
        <f t="shared" si="49"/>
        <v>0</v>
      </c>
      <c r="N133" s="487"/>
      <c r="O133" s="478">
        <f t="shared" si="50"/>
        <v>0</v>
      </c>
      <c r="P133" s="478">
        <f t="shared" si="51"/>
        <v>0</v>
      </c>
    </row>
    <row r="134" spans="2:16" ht="12.5">
      <c r="B134" s="160" t="str">
        <f t="shared" si="34"/>
        <v/>
      </c>
      <c r="C134" s="472">
        <f>IF(D93="","-",+C133+1)</f>
        <v>2043</v>
      </c>
      <c r="D134" s="346">
        <f>IF(F133+SUM(E$99:E133)=D$92,F133,D$92-SUM(E$99:E133))</f>
        <v>3032881</v>
      </c>
      <c r="E134" s="486">
        <f>IF(+J96&lt;F133,J96,D134)</f>
        <v>356479</v>
      </c>
      <c r="F134" s="485">
        <f t="shared" si="47"/>
        <v>2676402</v>
      </c>
      <c r="G134" s="485">
        <f t="shared" si="48"/>
        <v>2854641.5</v>
      </c>
      <c r="H134" s="488">
        <f t="shared" si="45"/>
        <v>681317</v>
      </c>
      <c r="I134" s="542">
        <f t="shared" si="46"/>
        <v>681317</v>
      </c>
      <c r="J134" s="478">
        <f t="shared" si="52"/>
        <v>0</v>
      </c>
      <c r="K134" s="478"/>
      <c r="L134" s="487"/>
      <c r="M134" s="478">
        <f t="shared" si="49"/>
        <v>0</v>
      </c>
      <c r="N134" s="487"/>
      <c r="O134" s="478">
        <f t="shared" si="50"/>
        <v>0</v>
      </c>
      <c r="P134" s="478">
        <f t="shared" si="51"/>
        <v>0</v>
      </c>
    </row>
    <row r="135" spans="2:16" ht="12.5">
      <c r="B135" s="160" t="str">
        <f t="shared" si="34"/>
        <v/>
      </c>
      <c r="C135" s="472">
        <f>IF(D93="","-",+C134+1)</f>
        <v>2044</v>
      </c>
      <c r="D135" s="346">
        <f>IF(F134+SUM(E$99:E134)=D$92,F134,D$92-SUM(E$99:E134))</f>
        <v>2676402</v>
      </c>
      <c r="E135" s="486">
        <f>IF(+J96&lt;F134,J96,D135)</f>
        <v>356479</v>
      </c>
      <c r="F135" s="485">
        <f t="shared" si="47"/>
        <v>2319923</v>
      </c>
      <c r="G135" s="485">
        <f t="shared" si="48"/>
        <v>2498162.5</v>
      </c>
      <c r="H135" s="488">
        <f t="shared" si="45"/>
        <v>640752</v>
      </c>
      <c r="I135" s="542">
        <f t="shared" si="46"/>
        <v>640752</v>
      </c>
      <c r="J135" s="478">
        <f t="shared" si="52"/>
        <v>0</v>
      </c>
      <c r="K135" s="478"/>
      <c r="L135" s="487"/>
      <c r="M135" s="478">
        <f t="shared" si="49"/>
        <v>0</v>
      </c>
      <c r="N135" s="487"/>
      <c r="O135" s="478">
        <f t="shared" si="50"/>
        <v>0</v>
      </c>
      <c r="P135" s="478">
        <f t="shared" si="51"/>
        <v>0</v>
      </c>
    </row>
    <row r="136" spans="2:16" ht="12.5">
      <c r="B136" s="160" t="str">
        <f t="shared" si="34"/>
        <v/>
      </c>
      <c r="C136" s="472">
        <f>IF(D93="","-",+C135+1)</f>
        <v>2045</v>
      </c>
      <c r="D136" s="346">
        <f>IF(F135+SUM(E$99:E135)=D$92,F135,D$92-SUM(E$99:E135))</f>
        <v>2319923</v>
      </c>
      <c r="E136" s="486">
        <f>IF(+J96&lt;F135,J96,D136)</f>
        <v>356479</v>
      </c>
      <c r="F136" s="485">
        <f t="shared" si="47"/>
        <v>1963444</v>
      </c>
      <c r="G136" s="485">
        <f t="shared" si="48"/>
        <v>2141683.5</v>
      </c>
      <c r="H136" s="488">
        <f t="shared" si="45"/>
        <v>600187</v>
      </c>
      <c r="I136" s="542">
        <f t="shared" si="46"/>
        <v>600187</v>
      </c>
      <c r="J136" s="478">
        <f t="shared" si="52"/>
        <v>0</v>
      </c>
      <c r="K136" s="478"/>
      <c r="L136" s="487"/>
      <c r="M136" s="478">
        <f t="shared" si="49"/>
        <v>0</v>
      </c>
      <c r="N136" s="487"/>
      <c r="O136" s="478">
        <f t="shared" si="50"/>
        <v>0</v>
      </c>
      <c r="P136" s="478">
        <f t="shared" si="51"/>
        <v>0</v>
      </c>
    </row>
    <row r="137" spans="2:16" ht="12.5">
      <c r="B137" s="160" t="str">
        <f t="shared" si="34"/>
        <v/>
      </c>
      <c r="C137" s="472">
        <f>IF(D93="","-",+C136+1)</f>
        <v>2046</v>
      </c>
      <c r="D137" s="346">
        <f>IF(F136+SUM(E$99:E136)=D$92,F136,D$92-SUM(E$99:E136))</f>
        <v>1963444</v>
      </c>
      <c r="E137" s="486">
        <f>IF(+J96&lt;F136,J96,D137)</f>
        <v>356479</v>
      </c>
      <c r="F137" s="485">
        <f t="shared" si="47"/>
        <v>1606965</v>
      </c>
      <c r="G137" s="485">
        <f t="shared" si="48"/>
        <v>1785204.5</v>
      </c>
      <c r="H137" s="488">
        <f t="shared" si="45"/>
        <v>559622</v>
      </c>
      <c r="I137" s="542">
        <f t="shared" si="46"/>
        <v>559622</v>
      </c>
      <c r="J137" s="478">
        <f t="shared" si="52"/>
        <v>0</v>
      </c>
      <c r="K137" s="478"/>
      <c r="L137" s="487"/>
      <c r="M137" s="478">
        <f t="shared" si="49"/>
        <v>0</v>
      </c>
      <c r="N137" s="487"/>
      <c r="O137" s="478">
        <f t="shared" si="50"/>
        <v>0</v>
      </c>
      <c r="P137" s="478">
        <f t="shared" si="51"/>
        <v>0</v>
      </c>
    </row>
    <row r="138" spans="2:16" ht="12.5">
      <c r="B138" s="160" t="str">
        <f t="shared" si="34"/>
        <v/>
      </c>
      <c r="C138" s="472">
        <f>IF(D93="","-",+C137+1)</f>
        <v>2047</v>
      </c>
      <c r="D138" s="346">
        <f>IF(F137+SUM(E$99:E137)=D$92,F137,D$92-SUM(E$99:E137))</f>
        <v>1606965</v>
      </c>
      <c r="E138" s="486">
        <f>IF(+J96&lt;F137,J96,D138)</f>
        <v>356479</v>
      </c>
      <c r="F138" s="485">
        <f t="shared" si="47"/>
        <v>1250486</v>
      </c>
      <c r="G138" s="485">
        <f t="shared" si="48"/>
        <v>1428725.5</v>
      </c>
      <c r="H138" s="488">
        <f t="shared" si="45"/>
        <v>519058</v>
      </c>
      <c r="I138" s="542">
        <f t="shared" si="46"/>
        <v>519058</v>
      </c>
      <c r="J138" s="478">
        <f t="shared" si="52"/>
        <v>0</v>
      </c>
      <c r="K138" s="478"/>
      <c r="L138" s="487"/>
      <c r="M138" s="478">
        <f t="shared" si="49"/>
        <v>0</v>
      </c>
      <c r="N138" s="487"/>
      <c r="O138" s="478">
        <f t="shared" si="50"/>
        <v>0</v>
      </c>
      <c r="P138" s="478">
        <f t="shared" si="51"/>
        <v>0</v>
      </c>
    </row>
    <row r="139" spans="2:16" ht="12.5">
      <c r="B139" s="160" t="str">
        <f t="shared" si="34"/>
        <v/>
      </c>
      <c r="C139" s="472">
        <f>IF(D93="","-",+C138+1)</f>
        <v>2048</v>
      </c>
      <c r="D139" s="346">
        <f>IF(F138+SUM(E$99:E138)=D$92,F138,D$92-SUM(E$99:E138))</f>
        <v>1250486</v>
      </c>
      <c r="E139" s="486">
        <f>IF(+J96&lt;F138,J96,D139)</f>
        <v>356479</v>
      </c>
      <c r="F139" s="485">
        <f t="shared" si="47"/>
        <v>894007</v>
      </c>
      <c r="G139" s="485">
        <f t="shared" si="48"/>
        <v>1072246.5</v>
      </c>
      <c r="H139" s="488">
        <f t="shared" si="45"/>
        <v>478493</v>
      </c>
      <c r="I139" s="542">
        <f t="shared" si="46"/>
        <v>478493</v>
      </c>
      <c r="J139" s="478">
        <f t="shared" si="52"/>
        <v>0</v>
      </c>
      <c r="K139" s="478"/>
      <c r="L139" s="487"/>
      <c r="M139" s="478">
        <f t="shared" si="49"/>
        <v>0</v>
      </c>
      <c r="N139" s="487"/>
      <c r="O139" s="478">
        <f t="shared" si="50"/>
        <v>0</v>
      </c>
      <c r="P139" s="478">
        <f t="shared" si="51"/>
        <v>0</v>
      </c>
    </row>
    <row r="140" spans="2:16" ht="12.5">
      <c r="B140" s="160" t="str">
        <f t="shared" si="34"/>
        <v/>
      </c>
      <c r="C140" s="472">
        <f>IF(D93="","-",+C139+1)</f>
        <v>2049</v>
      </c>
      <c r="D140" s="346">
        <f>IF(F139+SUM(E$99:E139)=D$92,F139,D$92-SUM(E$99:E139))</f>
        <v>894007</v>
      </c>
      <c r="E140" s="486">
        <f>IF(+J96&lt;F139,J96,D140)</f>
        <v>356479</v>
      </c>
      <c r="F140" s="485">
        <f t="shared" si="47"/>
        <v>537528</v>
      </c>
      <c r="G140" s="485">
        <f t="shared" si="48"/>
        <v>715767.5</v>
      </c>
      <c r="H140" s="488">
        <f t="shared" si="45"/>
        <v>437928</v>
      </c>
      <c r="I140" s="542">
        <f t="shared" si="46"/>
        <v>437928</v>
      </c>
      <c r="J140" s="478">
        <f t="shared" si="52"/>
        <v>0</v>
      </c>
      <c r="K140" s="478"/>
      <c r="L140" s="487"/>
      <c r="M140" s="478">
        <f t="shared" si="49"/>
        <v>0</v>
      </c>
      <c r="N140" s="487"/>
      <c r="O140" s="478">
        <f t="shared" si="50"/>
        <v>0</v>
      </c>
      <c r="P140" s="478">
        <f t="shared" si="51"/>
        <v>0</v>
      </c>
    </row>
    <row r="141" spans="2:16" ht="12.5">
      <c r="B141" s="160" t="str">
        <f t="shared" si="34"/>
        <v/>
      </c>
      <c r="C141" s="472">
        <f>IF(D93="","-",+C140+1)</f>
        <v>2050</v>
      </c>
      <c r="D141" s="346">
        <f>IF(F140+SUM(E$99:E140)=D$92,F140,D$92-SUM(E$99:E140))</f>
        <v>537528</v>
      </c>
      <c r="E141" s="486">
        <f>IF(+J96&lt;F140,J96,D141)</f>
        <v>356479</v>
      </c>
      <c r="F141" s="485">
        <f t="shared" si="47"/>
        <v>181049</v>
      </c>
      <c r="G141" s="485">
        <f t="shared" si="48"/>
        <v>359288.5</v>
      </c>
      <c r="H141" s="488">
        <f t="shared" si="45"/>
        <v>397363</v>
      </c>
      <c r="I141" s="542">
        <f t="shared" si="46"/>
        <v>397363</v>
      </c>
      <c r="J141" s="478">
        <f t="shared" si="52"/>
        <v>0</v>
      </c>
      <c r="K141" s="478"/>
      <c r="L141" s="487"/>
      <c r="M141" s="478">
        <f t="shared" si="49"/>
        <v>0</v>
      </c>
      <c r="N141" s="487"/>
      <c r="O141" s="478">
        <f t="shared" si="50"/>
        <v>0</v>
      </c>
      <c r="P141" s="478">
        <f t="shared" si="51"/>
        <v>0</v>
      </c>
    </row>
    <row r="142" spans="2:16" ht="12.5">
      <c r="B142" s="160" t="str">
        <f t="shared" si="34"/>
        <v/>
      </c>
      <c r="C142" s="472">
        <f>IF(D93="","-",+C141+1)</f>
        <v>2051</v>
      </c>
      <c r="D142" s="346">
        <f>IF(F141+SUM(E$99:E141)=D$92,F141,D$92-SUM(E$99:E141))</f>
        <v>181049</v>
      </c>
      <c r="E142" s="486">
        <f>IF(+J96&lt;F141,J96,D142)</f>
        <v>181049</v>
      </c>
      <c r="F142" s="485">
        <f t="shared" si="47"/>
        <v>0</v>
      </c>
      <c r="G142" s="485">
        <f t="shared" si="48"/>
        <v>90524.5</v>
      </c>
      <c r="H142" s="488">
        <f t="shared" si="45"/>
        <v>191350</v>
      </c>
      <c r="I142" s="542">
        <f t="shared" si="46"/>
        <v>191350</v>
      </c>
      <c r="J142" s="478">
        <f t="shared" si="52"/>
        <v>0</v>
      </c>
      <c r="K142" s="478"/>
      <c r="L142" s="487"/>
      <c r="M142" s="478">
        <f t="shared" si="49"/>
        <v>0</v>
      </c>
      <c r="N142" s="487"/>
      <c r="O142" s="478">
        <f t="shared" si="50"/>
        <v>0</v>
      </c>
      <c r="P142" s="478">
        <f t="shared" si="51"/>
        <v>0</v>
      </c>
    </row>
    <row r="143" spans="2:16" ht="12.5">
      <c r="B143" s="160" t="str">
        <f t="shared" si="34"/>
        <v/>
      </c>
      <c r="C143" s="472">
        <f>IF(D93="","-",+C142+1)</f>
        <v>2052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7"/>
        <v>0</v>
      </c>
      <c r="G143" s="485">
        <f t="shared" si="48"/>
        <v>0</v>
      </c>
      <c r="H143" s="488">
        <f t="shared" si="45"/>
        <v>0</v>
      </c>
      <c r="I143" s="542">
        <f t="shared" si="46"/>
        <v>0</v>
      </c>
      <c r="J143" s="478">
        <f t="shared" si="52"/>
        <v>0</v>
      </c>
      <c r="K143" s="478"/>
      <c r="L143" s="487"/>
      <c r="M143" s="478">
        <f t="shared" si="49"/>
        <v>0</v>
      </c>
      <c r="N143" s="487"/>
      <c r="O143" s="478">
        <f t="shared" si="50"/>
        <v>0</v>
      </c>
      <c r="P143" s="478">
        <f t="shared" si="51"/>
        <v>0</v>
      </c>
    </row>
    <row r="144" spans="2:16" ht="12.5">
      <c r="B144" s="160" t="str">
        <f t="shared" si="34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7"/>
        <v>0</v>
      </c>
      <c r="G144" s="485">
        <f t="shared" si="48"/>
        <v>0</v>
      </c>
      <c r="H144" s="488">
        <f t="shared" si="45"/>
        <v>0</v>
      </c>
      <c r="I144" s="542">
        <f t="shared" si="46"/>
        <v>0</v>
      </c>
      <c r="J144" s="478">
        <f t="shared" si="52"/>
        <v>0</v>
      </c>
      <c r="K144" s="478"/>
      <c r="L144" s="487"/>
      <c r="M144" s="478">
        <f t="shared" si="49"/>
        <v>0</v>
      </c>
      <c r="N144" s="487"/>
      <c r="O144" s="478">
        <f t="shared" si="50"/>
        <v>0</v>
      </c>
      <c r="P144" s="478">
        <f t="shared" si="51"/>
        <v>0</v>
      </c>
    </row>
    <row r="145" spans="2:16" ht="12.5">
      <c r="B145" s="160" t="str">
        <f t="shared" si="34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7"/>
        <v>0</v>
      </c>
      <c r="G145" s="485">
        <f t="shared" si="48"/>
        <v>0</v>
      </c>
      <c r="H145" s="488">
        <f t="shared" si="45"/>
        <v>0</v>
      </c>
      <c r="I145" s="542">
        <f t="shared" si="46"/>
        <v>0</v>
      </c>
      <c r="J145" s="478">
        <f t="shared" si="52"/>
        <v>0</v>
      </c>
      <c r="K145" s="478"/>
      <c r="L145" s="487"/>
      <c r="M145" s="478">
        <f t="shared" si="49"/>
        <v>0</v>
      </c>
      <c r="N145" s="487"/>
      <c r="O145" s="478">
        <f t="shared" si="50"/>
        <v>0</v>
      </c>
      <c r="P145" s="478">
        <f t="shared" si="51"/>
        <v>0</v>
      </c>
    </row>
    <row r="146" spans="2:16" ht="12.5">
      <c r="B146" s="160" t="str">
        <f t="shared" si="34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7"/>
        <v>0</v>
      </c>
      <c r="G146" s="485">
        <f t="shared" si="48"/>
        <v>0</v>
      </c>
      <c r="H146" s="488">
        <f t="shared" si="45"/>
        <v>0</v>
      </c>
      <c r="I146" s="542">
        <f t="shared" si="46"/>
        <v>0</v>
      </c>
      <c r="J146" s="478">
        <f t="shared" si="52"/>
        <v>0</v>
      </c>
      <c r="K146" s="478"/>
      <c r="L146" s="487"/>
      <c r="M146" s="478">
        <f t="shared" si="49"/>
        <v>0</v>
      </c>
      <c r="N146" s="487"/>
      <c r="O146" s="478">
        <f t="shared" si="50"/>
        <v>0</v>
      </c>
      <c r="P146" s="478">
        <f t="shared" si="51"/>
        <v>0</v>
      </c>
    </row>
    <row r="147" spans="2:16" ht="12.5">
      <c r="B147" s="160" t="str">
        <f t="shared" si="34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7"/>
        <v>0</v>
      </c>
      <c r="G147" s="485">
        <f t="shared" si="48"/>
        <v>0</v>
      </c>
      <c r="H147" s="488">
        <f t="shared" si="45"/>
        <v>0</v>
      </c>
      <c r="I147" s="542">
        <f t="shared" si="46"/>
        <v>0</v>
      </c>
      <c r="J147" s="478">
        <f t="shared" si="52"/>
        <v>0</v>
      </c>
      <c r="K147" s="478"/>
      <c r="L147" s="487"/>
      <c r="M147" s="478">
        <f t="shared" si="49"/>
        <v>0</v>
      </c>
      <c r="N147" s="487"/>
      <c r="O147" s="478">
        <f t="shared" si="50"/>
        <v>0</v>
      </c>
      <c r="P147" s="478">
        <f t="shared" si="51"/>
        <v>0</v>
      </c>
    </row>
    <row r="148" spans="2:16" ht="12.5">
      <c r="B148" s="160" t="str">
        <f t="shared" si="34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7"/>
        <v>0</v>
      </c>
      <c r="G148" s="485">
        <f t="shared" si="48"/>
        <v>0</v>
      </c>
      <c r="H148" s="488">
        <f t="shared" si="45"/>
        <v>0</v>
      </c>
      <c r="I148" s="542">
        <f t="shared" si="46"/>
        <v>0</v>
      </c>
      <c r="J148" s="478">
        <f t="shared" si="52"/>
        <v>0</v>
      </c>
      <c r="K148" s="478"/>
      <c r="L148" s="487"/>
      <c r="M148" s="478">
        <f t="shared" si="49"/>
        <v>0</v>
      </c>
      <c r="N148" s="487"/>
      <c r="O148" s="478">
        <f t="shared" si="50"/>
        <v>0</v>
      </c>
      <c r="P148" s="478">
        <f t="shared" si="51"/>
        <v>0</v>
      </c>
    </row>
    <row r="149" spans="2:16" ht="12.5">
      <c r="B149" s="160" t="str">
        <f t="shared" si="34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7"/>
        <v>0</v>
      </c>
      <c r="G149" s="485">
        <f t="shared" si="48"/>
        <v>0</v>
      </c>
      <c r="H149" s="488">
        <f t="shared" si="45"/>
        <v>0</v>
      </c>
      <c r="I149" s="542">
        <f t="shared" si="46"/>
        <v>0</v>
      </c>
      <c r="J149" s="478">
        <f t="shared" si="52"/>
        <v>0</v>
      </c>
      <c r="K149" s="478"/>
      <c r="L149" s="487"/>
      <c r="M149" s="478">
        <f t="shared" si="49"/>
        <v>0</v>
      </c>
      <c r="N149" s="487"/>
      <c r="O149" s="478">
        <f t="shared" si="50"/>
        <v>0</v>
      </c>
      <c r="P149" s="478">
        <f t="shared" si="51"/>
        <v>0</v>
      </c>
    </row>
    <row r="150" spans="2:16" ht="12.5">
      <c r="B150" s="160" t="str">
        <f t="shared" si="34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7"/>
        <v>0</v>
      </c>
      <c r="G150" s="485">
        <f t="shared" si="48"/>
        <v>0</v>
      </c>
      <c r="H150" s="488">
        <f t="shared" si="45"/>
        <v>0</v>
      </c>
      <c r="I150" s="542">
        <f t="shared" si="46"/>
        <v>0</v>
      </c>
      <c r="J150" s="478">
        <f t="shared" si="52"/>
        <v>0</v>
      </c>
      <c r="K150" s="478"/>
      <c r="L150" s="487"/>
      <c r="M150" s="478">
        <f t="shared" si="49"/>
        <v>0</v>
      </c>
      <c r="N150" s="487"/>
      <c r="O150" s="478">
        <f t="shared" si="50"/>
        <v>0</v>
      </c>
      <c r="P150" s="478">
        <f t="shared" si="51"/>
        <v>0</v>
      </c>
    </row>
    <row r="151" spans="2:16" ht="12.5">
      <c r="B151" s="160" t="str">
        <f t="shared" si="34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7"/>
        <v>0</v>
      </c>
      <c r="G151" s="485">
        <f t="shared" si="48"/>
        <v>0</v>
      </c>
      <c r="H151" s="488">
        <f t="shared" si="45"/>
        <v>0</v>
      </c>
      <c r="I151" s="542">
        <f t="shared" si="46"/>
        <v>0</v>
      </c>
      <c r="J151" s="478">
        <f t="shared" si="52"/>
        <v>0</v>
      </c>
      <c r="K151" s="478"/>
      <c r="L151" s="487"/>
      <c r="M151" s="478">
        <f t="shared" si="49"/>
        <v>0</v>
      </c>
      <c r="N151" s="487"/>
      <c r="O151" s="478">
        <f t="shared" si="50"/>
        <v>0</v>
      </c>
      <c r="P151" s="478">
        <f t="shared" si="51"/>
        <v>0</v>
      </c>
    </row>
    <row r="152" spans="2:16" ht="12.5">
      <c r="B152" s="160" t="str">
        <f t="shared" si="34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7"/>
        <v>0</v>
      </c>
      <c r="G152" s="485">
        <f t="shared" si="48"/>
        <v>0</v>
      </c>
      <c r="H152" s="488">
        <f t="shared" si="45"/>
        <v>0</v>
      </c>
      <c r="I152" s="542">
        <f t="shared" si="46"/>
        <v>0</v>
      </c>
      <c r="J152" s="478">
        <f t="shared" si="52"/>
        <v>0</v>
      </c>
      <c r="K152" s="478"/>
      <c r="L152" s="487"/>
      <c r="M152" s="478">
        <f t="shared" si="49"/>
        <v>0</v>
      </c>
      <c r="N152" s="487"/>
      <c r="O152" s="478">
        <f t="shared" si="50"/>
        <v>0</v>
      </c>
      <c r="P152" s="478">
        <f t="shared" si="51"/>
        <v>0</v>
      </c>
    </row>
    <row r="153" spans="2:16" ht="12.5">
      <c r="B153" s="160" t="str">
        <f t="shared" si="34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7"/>
        <v>0</v>
      </c>
      <c r="G153" s="485">
        <f t="shared" si="48"/>
        <v>0</v>
      </c>
      <c r="H153" s="488">
        <f t="shared" si="45"/>
        <v>0</v>
      </c>
      <c r="I153" s="542">
        <f t="shared" si="46"/>
        <v>0</v>
      </c>
      <c r="J153" s="478">
        <f t="shared" si="52"/>
        <v>0</v>
      </c>
      <c r="K153" s="478"/>
      <c r="L153" s="487"/>
      <c r="M153" s="478">
        <f t="shared" si="49"/>
        <v>0</v>
      </c>
      <c r="N153" s="487"/>
      <c r="O153" s="478">
        <f t="shared" si="50"/>
        <v>0</v>
      </c>
      <c r="P153" s="478">
        <f t="shared" si="51"/>
        <v>0</v>
      </c>
    </row>
    <row r="154" spans="2:16" ht="13" thickBot="1">
      <c r="B154" s="160" t="str">
        <f t="shared" si="34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7"/>
        <v>0</v>
      </c>
      <c r="G154" s="490">
        <f t="shared" si="48"/>
        <v>0</v>
      </c>
      <c r="H154" s="492">
        <f t="shared" si="45"/>
        <v>0</v>
      </c>
      <c r="I154" s="545">
        <f t="shared" si="46"/>
        <v>0</v>
      </c>
      <c r="J154" s="495">
        <f t="shared" si="52"/>
        <v>0</v>
      </c>
      <c r="K154" s="478"/>
      <c r="L154" s="494"/>
      <c r="M154" s="495">
        <f t="shared" si="49"/>
        <v>0</v>
      </c>
      <c r="N154" s="494"/>
      <c r="O154" s="495">
        <f t="shared" si="50"/>
        <v>0</v>
      </c>
      <c r="P154" s="495">
        <f t="shared" si="51"/>
        <v>0</v>
      </c>
    </row>
    <row r="155" spans="2:16" ht="12.5">
      <c r="C155" s="346" t="s">
        <v>77</v>
      </c>
      <c r="D155" s="347"/>
      <c r="E155" s="347">
        <f>SUM(E99:E154)</f>
        <v>14615636</v>
      </c>
      <c r="F155" s="347"/>
      <c r="G155" s="347"/>
      <c r="H155" s="347">
        <f>SUM(H99:H154)</f>
        <v>55144088.621313199</v>
      </c>
      <c r="I155" s="347">
        <f>SUM(I99:I154)</f>
        <v>55144088.621313199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2.5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5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39228.598463176066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39228.598463176066</v>
      </c>
      <c r="O6" s="232"/>
      <c r="P6" s="232"/>
    </row>
    <row r="7" spans="1:16" ht="13.5" thickBot="1">
      <c r="C7" s="431" t="s">
        <v>46</v>
      </c>
      <c r="D7" s="432" t="s">
        <v>206</v>
      </c>
      <c r="E7" s="329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83</v>
      </c>
      <c r="E9" s="577" t="s">
        <v>350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387742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9942.1025641025644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2006</v>
      </c>
      <c r="D17" s="473">
        <v>387742</v>
      </c>
      <c r="E17" s="474">
        <v>3877</v>
      </c>
      <c r="F17" s="473">
        <v>383865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/>
      <c r="C18" s="472">
        <f>IF(D11="","-",+C17+1)</f>
        <v>2007</v>
      </c>
      <c r="D18" s="479">
        <v>383865</v>
      </c>
      <c r="E18" s="480">
        <v>7755</v>
      </c>
      <c r="F18" s="479">
        <v>376110</v>
      </c>
      <c r="G18" s="479">
        <v>59847</v>
      </c>
      <c r="H18" s="479">
        <v>59847</v>
      </c>
      <c r="I18" s="475">
        <f t="shared" si="0"/>
        <v>0</v>
      </c>
      <c r="J18" s="475"/>
      <c r="K18" s="476">
        <v>59847</v>
      </c>
      <c r="L18" s="478">
        <f t="shared" si="1"/>
        <v>0</v>
      </c>
      <c r="M18" s="476">
        <v>59847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/>
      <c r="C19" s="472">
        <f>IF(D11="","-",+C18+1)</f>
        <v>2008</v>
      </c>
      <c r="D19" s="479">
        <v>376557</v>
      </c>
      <c r="E19" s="561">
        <v>7457</v>
      </c>
      <c r="F19" s="479">
        <v>369100</v>
      </c>
      <c r="G19" s="479">
        <v>62208</v>
      </c>
      <c r="H19" s="479">
        <v>62208</v>
      </c>
      <c r="I19" s="475">
        <f t="shared" si="0"/>
        <v>0</v>
      </c>
      <c r="J19" s="475"/>
      <c r="K19" s="476">
        <v>62208</v>
      </c>
      <c r="L19" s="478">
        <f t="shared" si="1"/>
        <v>0</v>
      </c>
      <c r="M19" s="476">
        <v>62208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/>
      <c r="C20" s="472">
        <f>IF(D11="","-",+C19+1)</f>
        <v>2009</v>
      </c>
      <c r="D20" s="479">
        <v>368843</v>
      </c>
      <c r="E20" s="561">
        <v>7316</v>
      </c>
      <c r="F20" s="479">
        <v>361527</v>
      </c>
      <c r="G20" s="479">
        <v>62704</v>
      </c>
      <c r="H20" s="479">
        <v>62704</v>
      </c>
      <c r="I20" s="475">
        <f t="shared" si="0"/>
        <v>0</v>
      </c>
      <c r="J20" s="475"/>
      <c r="K20" s="476">
        <v>62704</v>
      </c>
      <c r="L20" s="478">
        <f t="shared" si="1"/>
        <v>0</v>
      </c>
      <c r="M20" s="476">
        <v>62704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/>
      <c r="C21" s="472">
        <f>IF(D12="","-",+C20+1)</f>
        <v>2010</v>
      </c>
      <c r="D21" s="479">
        <v>361337</v>
      </c>
      <c r="E21" s="480">
        <v>6923.9642857142853</v>
      </c>
      <c r="F21" s="479">
        <v>354413.03571428574</v>
      </c>
      <c r="G21" s="480">
        <v>58064.529944767884</v>
      </c>
      <c r="H21" s="481">
        <v>58064.529944767884</v>
      </c>
      <c r="I21" s="475">
        <f t="shared" si="0"/>
        <v>0</v>
      </c>
      <c r="J21" s="475"/>
      <c r="K21" s="540">
        <f t="shared" ref="K21:K26" si="4">G21</f>
        <v>58064.529944767884</v>
      </c>
      <c r="L21" s="478">
        <f t="shared" si="1"/>
        <v>0</v>
      </c>
      <c r="M21" s="540">
        <f t="shared" ref="M21:M26" si="5">H21</f>
        <v>58064.529944767884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ref="B22:B72" si="6">IF(D22=F21,"","IU")</f>
        <v/>
      </c>
      <c r="C22" s="472">
        <f>IF(D11="","-",+C21+1)</f>
        <v>2011</v>
      </c>
      <c r="D22" s="479">
        <v>354413.03571428574</v>
      </c>
      <c r="E22" s="480">
        <v>7602.7843137254904</v>
      </c>
      <c r="F22" s="479">
        <v>346810.25140056026</v>
      </c>
      <c r="G22" s="480">
        <v>61893.620096156621</v>
      </c>
      <c r="H22" s="481">
        <v>61893.620096156621</v>
      </c>
      <c r="I22" s="475">
        <f t="shared" si="0"/>
        <v>0</v>
      </c>
      <c r="J22" s="475"/>
      <c r="K22" s="476">
        <f t="shared" si="4"/>
        <v>61893.620096156621</v>
      </c>
      <c r="L22" s="550">
        <f t="shared" si="1"/>
        <v>0</v>
      </c>
      <c r="M22" s="476">
        <f t="shared" si="5"/>
        <v>61893.620096156621</v>
      </c>
      <c r="N22" s="478">
        <f t="shared" si="2"/>
        <v>0</v>
      </c>
      <c r="O22" s="478">
        <f t="shared" si="3"/>
        <v>0</v>
      </c>
      <c r="P22" s="242"/>
    </row>
    <row r="23" spans="2:16" ht="12.5">
      <c r="B23" s="160" t="str">
        <f t="shared" si="6"/>
        <v/>
      </c>
      <c r="C23" s="472">
        <f>IF(D11="","-",+C22+1)</f>
        <v>2012</v>
      </c>
      <c r="D23" s="479">
        <v>346810.25140056026</v>
      </c>
      <c r="E23" s="480">
        <v>7456.5769230769229</v>
      </c>
      <c r="F23" s="479">
        <v>339353.67447748332</v>
      </c>
      <c r="G23" s="480">
        <v>54696.893588724874</v>
      </c>
      <c r="H23" s="481">
        <v>54696.893588724874</v>
      </c>
      <c r="I23" s="475">
        <f t="shared" si="0"/>
        <v>0</v>
      </c>
      <c r="J23" s="475"/>
      <c r="K23" s="476">
        <f t="shared" si="4"/>
        <v>54696.893588724874</v>
      </c>
      <c r="L23" s="550">
        <f t="shared" si="1"/>
        <v>0</v>
      </c>
      <c r="M23" s="476">
        <f t="shared" si="5"/>
        <v>54696.893588724874</v>
      </c>
      <c r="N23" s="478">
        <f t="shared" si="2"/>
        <v>0</v>
      </c>
      <c r="O23" s="478">
        <f t="shared" si="3"/>
        <v>0</v>
      </c>
      <c r="P23" s="242"/>
    </row>
    <row r="24" spans="2:16" ht="12.5">
      <c r="B24" s="160" t="str">
        <f t="shared" si="6"/>
        <v/>
      </c>
      <c r="C24" s="472">
        <f>IF(D11="","-",+C23+1)</f>
        <v>2013</v>
      </c>
      <c r="D24" s="479">
        <v>339353.67447748332</v>
      </c>
      <c r="E24" s="480">
        <v>7456.5769230769229</v>
      </c>
      <c r="F24" s="479">
        <v>331897.09755440638</v>
      </c>
      <c r="G24" s="480">
        <v>54853.72619811543</v>
      </c>
      <c r="H24" s="481">
        <v>54853.72619811543</v>
      </c>
      <c r="I24" s="475">
        <v>0</v>
      </c>
      <c r="J24" s="475"/>
      <c r="K24" s="476">
        <f t="shared" si="4"/>
        <v>54853.72619811543</v>
      </c>
      <c r="L24" s="550">
        <f t="shared" ref="L24:L29" si="7">IF(K24&lt;&gt;0,+G24-K24,0)</f>
        <v>0</v>
      </c>
      <c r="M24" s="476">
        <f t="shared" si="5"/>
        <v>54853.72619811543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 ht="12.5">
      <c r="B25" s="160" t="str">
        <f t="shared" si="6"/>
        <v/>
      </c>
      <c r="C25" s="472">
        <f>IF(D11="","-",+C24+1)</f>
        <v>2014</v>
      </c>
      <c r="D25" s="479">
        <v>331897.09755440638</v>
      </c>
      <c r="E25" s="480">
        <v>7456.5769230769229</v>
      </c>
      <c r="F25" s="479">
        <v>324440.52063132945</v>
      </c>
      <c r="G25" s="480">
        <v>52118.659182147123</v>
      </c>
      <c r="H25" s="481">
        <v>52118.659182147123</v>
      </c>
      <c r="I25" s="475">
        <v>0</v>
      </c>
      <c r="J25" s="475"/>
      <c r="K25" s="476">
        <f t="shared" si="4"/>
        <v>52118.659182147123</v>
      </c>
      <c r="L25" s="550">
        <f t="shared" si="7"/>
        <v>0</v>
      </c>
      <c r="M25" s="476">
        <f t="shared" si="5"/>
        <v>52118.659182147123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2015</v>
      </c>
      <c r="D26" s="479">
        <v>324440.52063132945</v>
      </c>
      <c r="E26" s="480">
        <v>7456.5769230769229</v>
      </c>
      <c r="F26" s="479">
        <v>316983.94370825251</v>
      </c>
      <c r="G26" s="480">
        <v>51159.678410482353</v>
      </c>
      <c r="H26" s="481">
        <v>51159.678410482353</v>
      </c>
      <c r="I26" s="475">
        <v>0</v>
      </c>
      <c r="J26" s="475"/>
      <c r="K26" s="476">
        <f t="shared" si="4"/>
        <v>51159.678410482353</v>
      </c>
      <c r="L26" s="550">
        <f t="shared" si="7"/>
        <v>0</v>
      </c>
      <c r="M26" s="476">
        <f t="shared" si="5"/>
        <v>51159.678410482353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2016</v>
      </c>
      <c r="D27" s="479">
        <v>316983.94370825251</v>
      </c>
      <c r="E27" s="480">
        <v>7456.5769230769229</v>
      </c>
      <c r="F27" s="479">
        <v>309527.36678517557</v>
      </c>
      <c r="G27" s="480">
        <v>48054.073071867475</v>
      </c>
      <c r="H27" s="481">
        <v>48054.073071867475</v>
      </c>
      <c r="I27" s="475">
        <f t="shared" si="0"/>
        <v>0</v>
      </c>
      <c r="J27" s="475"/>
      <c r="K27" s="476">
        <f t="shared" ref="K27:K32" si="10">G27</f>
        <v>48054.073071867475</v>
      </c>
      <c r="L27" s="550">
        <f t="shared" si="7"/>
        <v>0</v>
      </c>
      <c r="M27" s="476">
        <f t="shared" ref="M27:M32" si="11">H27</f>
        <v>48054.073071867475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2017</v>
      </c>
      <c r="D28" s="479">
        <v>309527.36678517557</v>
      </c>
      <c r="E28" s="480">
        <v>8429.173913043478</v>
      </c>
      <c r="F28" s="479">
        <v>301098.19287213212</v>
      </c>
      <c r="G28" s="480">
        <v>46747.12706959022</v>
      </c>
      <c r="H28" s="481">
        <v>46747.12706959022</v>
      </c>
      <c r="I28" s="475">
        <f t="shared" si="0"/>
        <v>0</v>
      </c>
      <c r="J28" s="475"/>
      <c r="K28" s="476">
        <f t="shared" si="10"/>
        <v>46747.12706959022</v>
      </c>
      <c r="L28" s="550">
        <f t="shared" si="7"/>
        <v>0</v>
      </c>
      <c r="M28" s="476">
        <f t="shared" si="11"/>
        <v>46747.12706959022</v>
      </c>
      <c r="N28" s="478">
        <f t="shared" si="8"/>
        <v>0</v>
      </c>
      <c r="O28" s="478">
        <f t="shared" si="9"/>
        <v>0</v>
      </c>
      <c r="P28" s="242"/>
    </row>
    <row r="29" spans="2:16" ht="12.5">
      <c r="B29" s="160" t="str">
        <f t="shared" si="6"/>
        <v/>
      </c>
      <c r="C29" s="472">
        <f>IF(D11="","-",+C28+1)</f>
        <v>2018</v>
      </c>
      <c r="D29" s="479">
        <v>301098.19287213212</v>
      </c>
      <c r="E29" s="480">
        <v>8616.4888888888891</v>
      </c>
      <c r="F29" s="479">
        <v>292481.70398324321</v>
      </c>
      <c r="G29" s="480">
        <v>44159.738725302646</v>
      </c>
      <c r="H29" s="481">
        <v>44159.738725302646</v>
      </c>
      <c r="I29" s="475">
        <f t="shared" si="0"/>
        <v>0</v>
      </c>
      <c r="J29" s="475"/>
      <c r="K29" s="476">
        <f t="shared" si="10"/>
        <v>44159.738725302646</v>
      </c>
      <c r="L29" s="550">
        <f t="shared" si="7"/>
        <v>0</v>
      </c>
      <c r="M29" s="476">
        <f t="shared" si="11"/>
        <v>44159.738725302646</v>
      </c>
      <c r="N29" s="478">
        <f t="shared" si="8"/>
        <v>0</v>
      </c>
      <c r="O29" s="478">
        <f t="shared" si="9"/>
        <v>0</v>
      </c>
      <c r="P29" s="242"/>
    </row>
    <row r="30" spans="2:16" ht="12.5">
      <c r="B30" s="160" t="str">
        <f t="shared" si="6"/>
        <v/>
      </c>
      <c r="C30" s="472">
        <f>IF(D11="","-",+C29+1)</f>
        <v>2019</v>
      </c>
      <c r="D30" s="479">
        <v>292481.70398324321</v>
      </c>
      <c r="E30" s="480">
        <v>9693.5499999999993</v>
      </c>
      <c r="F30" s="479">
        <v>282788.15398324322</v>
      </c>
      <c r="G30" s="480">
        <v>41809.897213779383</v>
      </c>
      <c r="H30" s="481">
        <v>41809.897213779383</v>
      </c>
      <c r="I30" s="475">
        <f t="shared" si="0"/>
        <v>0</v>
      </c>
      <c r="J30" s="475"/>
      <c r="K30" s="476">
        <f t="shared" si="10"/>
        <v>41809.897213779383</v>
      </c>
      <c r="L30" s="550">
        <f t="shared" ref="L30" si="12">IF(K30&lt;&gt;0,+G30-K30,0)</f>
        <v>0</v>
      </c>
      <c r="M30" s="476">
        <f t="shared" si="11"/>
        <v>41809.897213779383</v>
      </c>
      <c r="N30" s="478">
        <f t="shared" ref="N30" si="13">IF(M30&lt;&gt;0,+H30-M30,0)</f>
        <v>0</v>
      </c>
      <c r="O30" s="478">
        <f t="shared" ref="O30" si="14">+N30-L30</f>
        <v>0</v>
      </c>
      <c r="P30" s="242"/>
    </row>
    <row r="31" spans="2:16" ht="12.5">
      <c r="B31" s="160" t="str">
        <f t="shared" si="6"/>
        <v>IU</v>
      </c>
      <c r="C31" s="472">
        <f>IF(D11="","-",+C30+1)</f>
        <v>2020</v>
      </c>
      <c r="D31" s="479">
        <v>283865.21509435429</v>
      </c>
      <c r="E31" s="480">
        <v>9231.9523809523816</v>
      </c>
      <c r="F31" s="479">
        <v>274633.26271340193</v>
      </c>
      <c r="G31" s="480">
        <v>39392.204131039958</v>
      </c>
      <c r="H31" s="481">
        <v>39392.204131039958</v>
      </c>
      <c r="I31" s="475">
        <f t="shared" si="0"/>
        <v>0</v>
      </c>
      <c r="J31" s="475"/>
      <c r="K31" s="476">
        <f t="shared" si="10"/>
        <v>39392.204131039958</v>
      </c>
      <c r="L31" s="550">
        <f t="shared" ref="L31" si="15">IF(K31&lt;&gt;0,+G31-K31,0)</f>
        <v>0</v>
      </c>
      <c r="M31" s="476">
        <f t="shared" si="11"/>
        <v>39392.204131039958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>IU</v>
      </c>
      <c r="C32" s="472">
        <f>IF(D11="","-",+C31+1)</f>
        <v>2021</v>
      </c>
      <c r="D32" s="479">
        <v>273556.20160229085</v>
      </c>
      <c r="E32" s="480">
        <v>9017.2558139534885</v>
      </c>
      <c r="F32" s="479">
        <v>264538.94578833738</v>
      </c>
      <c r="G32" s="480">
        <v>37540.281940264002</v>
      </c>
      <c r="H32" s="481">
        <v>37540.281940264002</v>
      </c>
      <c r="I32" s="475">
        <f t="shared" si="0"/>
        <v>0</v>
      </c>
      <c r="J32" s="475"/>
      <c r="K32" s="476">
        <f t="shared" si="10"/>
        <v>37540.281940264002</v>
      </c>
      <c r="L32" s="550">
        <f t="shared" ref="L32" si="16">IF(K32&lt;&gt;0,+G32-K32,0)</f>
        <v>0</v>
      </c>
      <c r="M32" s="476">
        <f t="shared" si="11"/>
        <v>37540.281940264002</v>
      </c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2022</v>
      </c>
      <c r="D33" s="479">
        <v>264538.94578833738</v>
      </c>
      <c r="E33" s="480">
        <v>9231.9523809523816</v>
      </c>
      <c r="F33" s="479">
        <v>255306.99340738502</v>
      </c>
      <c r="G33" s="480">
        <v>36756.917403506392</v>
      </c>
      <c r="H33" s="481">
        <v>36756.917403506392</v>
      </c>
      <c r="I33" s="475">
        <f t="shared" si="0"/>
        <v>0</v>
      </c>
      <c r="J33" s="475"/>
      <c r="K33" s="476">
        <f t="shared" ref="K33" si="17">G33</f>
        <v>36756.917403506392</v>
      </c>
      <c r="L33" s="550">
        <f t="shared" ref="L33" si="18">IF(K33&lt;&gt;0,+G33-K33,0)</f>
        <v>0</v>
      </c>
      <c r="M33" s="476">
        <f t="shared" ref="M33" si="19">H33</f>
        <v>36756.917403506392</v>
      </c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2023</v>
      </c>
      <c r="D34" s="485">
        <f>IF(F33+SUM(E$17:E33)=D$10,F33,D$10-SUM(E$17:E33))</f>
        <v>255306.99340738502</v>
      </c>
      <c r="E34" s="484">
        <f>IF(+I14&lt;F33,I14,D34)</f>
        <v>9942.1025641025644</v>
      </c>
      <c r="F34" s="485">
        <f t="shared" ref="F34:F72" si="20">+D34-E34</f>
        <v>245364.89084328245</v>
      </c>
      <c r="G34" s="486">
        <f t="shared" ref="G34:G72" si="21">+I$12*F34+E34</f>
        <v>39228.598463176066</v>
      </c>
      <c r="H34" s="455">
        <f t="shared" ref="H34:H72" si="22">+I$13*F34+E34</f>
        <v>39228.598463176066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2024</v>
      </c>
      <c r="D35" s="485">
        <f>IF(F34+SUM(E$17:E34)=D$10,F34,D$10-SUM(E$17:E34))</f>
        <v>245364.89084328245</v>
      </c>
      <c r="E35" s="484">
        <f>IF(+I14&lt;F34,I14,D35)</f>
        <v>9942.1025641025644</v>
      </c>
      <c r="F35" s="485">
        <f t="shared" si="20"/>
        <v>235422.78827917989</v>
      </c>
      <c r="G35" s="486">
        <f t="shared" si="21"/>
        <v>38041.919533802546</v>
      </c>
      <c r="H35" s="455">
        <f t="shared" si="22"/>
        <v>38041.919533802546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2025</v>
      </c>
      <c r="D36" s="485">
        <f>IF(F35+SUM(E$17:E35)=D$10,F35,D$10-SUM(E$17:E35))</f>
        <v>235422.78827917989</v>
      </c>
      <c r="E36" s="484">
        <f>IF(+I14&lt;F35,I14,D36)</f>
        <v>9942.1025641025644</v>
      </c>
      <c r="F36" s="485">
        <f t="shared" si="20"/>
        <v>225480.68571507733</v>
      </c>
      <c r="G36" s="486">
        <f t="shared" si="21"/>
        <v>36855.240604429018</v>
      </c>
      <c r="H36" s="455">
        <f t="shared" si="22"/>
        <v>36855.240604429018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2026</v>
      </c>
      <c r="D37" s="485">
        <f>IF(F36+SUM(E$17:E36)=D$10,F36,D$10-SUM(E$17:E36))</f>
        <v>225480.68571507733</v>
      </c>
      <c r="E37" s="484">
        <f>IF(+I14&lt;F36,I14,D37)</f>
        <v>9942.1025641025644</v>
      </c>
      <c r="F37" s="485">
        <f t="shared" si="20"/>
        <v>215538.58315097477</v>
      </c>
      <c r="G37" s="486">
        <f t="shared" si="21"/>
        <v>35668.561675055498</v>
      </c>
      <c r="H37" s="455">
        <f t="shared" si="22"/>
        <v>35668.561675055498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2027</v>
      </c>
      <c r="D38" s="485">
        <f>IF(F37+SUM(E$17:E37)=D$10,F37,D$10-SUM(E$17:E37))</f>
        <v>215538.58315097477</v>
      </c>
      <c r="E38" s="484">
        <f>IF(+I14&lt;F37,I14,D38)</f>
        <v>9942.1025641025644</v>
      </c>
      <c r="F38" s="485">
        <f t="shared" si="20"/>
        <v>205596.4805868722</v>
      </c>
      <c r="G38" s="486">
        <f t="shared" si="21"/>
        <v>34481.882745681971</v>
      </c>
      <c r="H38" s="455">
        <f t="shared" si="22"/>
        <v>34481.882745681971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2028</v>
      </c>
      <c r="D39" s="485">
        <f>IF(F38+SUM(E$17:E38)=D$10,F38,D$10-SUM(E$17:E38))</f>
        <v>205596.4805868722</v>
      </c>
      <c r="E39" s="484">
        <f>IF(+I14&lt;F38,I14,D39)</f>
        <v>9942.1025641025644</v>
      </c>
      <c r="F39" s="485">
        <f t="shared" si="20"/>
        <v>195654.37802276964</v>
      </c>
      <c r="G39" s="486">
        <f t="shared" si="21"/>
        <v>33295.203816308451</v>
      </c>
      <c r="H39" s="455">
        <f t="shared" si="22"/>
        <v>33295.203816308451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2029</v>
      </c>
      <c r="D40" s="485">
        <f>IF(F39+SUM(E$17:E39)=D$10,F39,D$10-SUM(E$17:E39))</f>
        <v>195654.37802276964</v>
      </c>
      <c r="E40" s="484">
        <f>IF(+I14&lt;F39,I14,D40)</f>
        <v>9942.1025641025644</v>
      </c>
      <c r="F40" s="485">
        <f t="shared" si="20"/>
        <v>185712.27545866708</v>
      </c>
      <c r="G40" s="486">
        <f t="shared" si="21"/>
        <v>32108.524886934931</v>
      </c>
      <c r="H40" s="455">
        <f t="shared" si="22"/>
        <v>32108.524886934931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2030</v>
      </c>
      <c r="D41" s="485">
        <f>IF(F40+SUM(E$17:E40)=D$10,F40,D$10-SUM(E$17:E40))</f>
        <v>185712.27545866708</v>
      </c>
      <c r="E41" s="484">
        <f>IF(+I14&lt;F40,I14,D41)</f>
        <v>9942.1025641025644</v>
      </c>
      <c r="F41" s="485">
        <f t="shared" si="20"/>
        <v>175770.17289456452</v>
      </c>
      <c r="G41" s="486">
        <f t="shared" si="21"/>
        <v>30921.845957561403</v>
      </c>
      <c r="H41" s="455">
        <f t="shared" si="22"/>
        <v>30921.845957561403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2031</v>
      </c>
      <c r="D42" s="485">
        <f>IF(F41+SUM(E$17:E41)=D$10,F41,D$10-SUM(E$17:E41))</f>
        <v>175770.17289456452</v>
      </c>
      <c r="E42" s="484">
        <f>IF(+I14&lt;F41,I14,D42)</f>
        <v>9942.1025641025644</v>
      </c>
      <c r="F42" s="485">
        <f t="shared" si="20"/>
        <v>165828.07033046195</v>
      </c>
      <c r="G42" s="486">
        <f t="shared" si="21"/>
        <v>29735.167028187883</v>
      </c>
      <c r="H42" s="455">
        <f t="shared" si="22"/>
        <v>29735.167028187883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2032</v>
      </c>
      <c r="D43" s="485">
        <f>IF(F42+SUM(E$17:E42)=D$10,F42,D$10-SUM(E$17:E42))</f>
        <v>165828.07033046195</v>
      </c>
      <c r="E43" s="484">
        <f>IF(+I14&lt;F42,I14,D43)</f>
        <v>9942.1025641025644</v>
      </c>
      <c r="F43" s="485">
        <f t="shared" si="20"/>
        <v>155885.96776635939</v>
      </c>
      <c r="G43" s="486">
        <f t="shared" si="21"/>
        <v>28548.488098814356</v>
      </c>
      <c r="H43" s="455">
        <f t="shared" si="22"/>
        <v>28548.488098814356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2033</v>
      </c>
      <c r="D44" s="485">
        <f>IF(F43+SUM(E$17:E43)=D$10,F43,D$10-SUM(E$17:E43))</f>
        <v>155885.96776635939</v>
      </c>
      <c r="E44" s="484">
        <f>IF(+I14&lt;F43,I14,D44)</f>
        <v>9942.1025641025644</v>
      </c>
      <c r="F44" s="485">
        <f t="shared" si="20"/>
        <v>145943.86520225683</v>
      </c>
      <c r="G44" s="486">
        <f t="shared" si="21"/>
        <v>27361.809169440836</v>
      </c>
      <c r="H44" s="455">
        <f t="shared" si="22"/>
        <v>27361.809169440836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2034</v>
      </c>
      <c r="D45" s="485">
        <f>IF(F44+SUM(E$17:E44)=D$10,F44,D$10-SUM(E$17:E44))</f>
        <v>145943.86520225683</v>
      </c>
      <c r="E45" s="484">
        <f>IF(+I14&lt;F44,I14,D45)</f>
        <v>9942.1025641025644</v>
      </c>
      <c r="F45" s="485">
        <f t="shared" si="20"/>
        <v>136001.76263815427</v>
      </c>
      <c r="G45" s="486">
        <f t="shared" si="21"/>
        <v>26175.130240067308</v>
      </c>
      <c r="H45" s="455">
        <f t="shared" si="22"/>
        <v>26175.130240067308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2035</v>
      </c>
      <c r="D46" s="485">
        <f>IF(F45+SUM(E$17:E45)=D$10,F45,D$10-SUM(E$17:E45))</f>
        <v>136001.76263815427</v>
      </c>
      <c r="E46" s="484">
        <f>IF(+I14&lt;F45,I14,D46)</f>
        <v>9942.1025641025644</v>
      </c>
      <c r="F46" s="485">
        <f t="shared" si="20"/>
        <v>126059.6600740517</v>
      </c>
      <c r="G46" s="486">
        <f t="shared" si="21"/>
        <v>24988.451310693788</v>
      </c>
      <c r="H46" s="455">
        <f t="shared" si="22"/>
        <v>24988.451310693788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2036</v>
      </c>
      <c r="D47" s="485">
        <f>IF(F46+SUM(E$17:E46)=D$10,F46,D$10-SUM(E$17:E46))</f>
        <v>126059.6600740517</v>
      </c>
      <c r="E47" s="484">
        <f>IF(+I14&lt;F46,I14,D47)</f>
        <v>9942.1025641025644</v>
      </c>
      <c r="F47" s="485">
        <f t="shared" si="20"/>
        <v>116117.55750994914</v>
      </c>
      <c r="G47" s="486">
        <f t="shared" si="21"/>
        <v>23801.772381320261</v>
      </c>
      <c r="H47" s="455">
        <f t="shared" si="22"/>
        <v>23801.772381320261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2037</v>
      </c>
      <c r="D48" s="485">
        <f>IF(F47+SUM(E$17:E47)=D$10,F47,D$10-SUM(E$17:E47))</f>
        <v>116117.55750994914</v>
      </c>
      <c r="E48" s="484">
        <f>IF(+I14&lt;F47,I14,D48)</f>
        <v>9942.1025641025644</v>
      </c>
      <c r="F48" s="485">
        <f t="shared" si="20"/>
        <v>106175.45494584658</v>
      </c>
      <c r="G48" s="486">
        <f t="shared" si="21"/>
        <v>22615.093451946741</v>
      </c>
      <c r="H48" s="455">
        <f t="shared" si="22"/>
        <v>22615.093451946741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2038</v>
      </c>
      <c r="D49" s="485">
        <f>IF(F48+SUM(E$17:E48)=D$10,F48,D$10-SUM(E$17:E48))</f>
        <v>106175.45494584658</v>
      </c>
      <c r="E49" s="484">
        <f>IF(+I14&lt;F48,I14,D49)</f>
        <v>9942.1025641025644</v>
      </c>
      <c r="F49" s="485">
        <f t="shared" si="20"/>
        <v>96233.352381744015</v>
      </c>
      <c r="G49" s="486">
        <f t="shared" si="21"/>
        <v>21428.414522573217</v>
      </c>
      <c r="H49" s="455">
        <f t="shared" si="22"/>
        <v>21428.414522573217</v>
      </c>
      <c r="I49" s="475">
        <f t="shared" ref="I49:I72" si="23">H49-G49</f>
        <v>0</v>
      </c>
      <c r="J49" s="475"/>
      <c r="K49" s="487"/>
      <c r="L49" s="478">
        <f t="shared" ref="L49:L72" si="24">IF(K49&lt;&gt;0,+G49-K49,0)</f>
        <v>0</v>
      </c>
      <c r="M49" s="487"/>
      <c r="N49" s="478">
        <f t="shared" ref="N49:N72" si="25">IF(M49&lt;&gt;0,+H49-M49,0)</f>
        <v>0</v>
      </c>
      <c r="O49" s="478">
        <f t="shared" ref="O49:O72" si="26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2039</v>
      </c>
      <c r="D50" s="485">
        <f>IF(F49+SUM(E$17:E49)=D$10,F49,D$10-SUM(E$17:E49))</f>
        <v>96233.352381744015</v>
      </c>
      <c r="E50" s="484">
        <f>IF(+I14&lt;F49,I14,D50)</f>
        <v>9942.1025641025644</v>
      </c>
      <c r="F50" s="485">
        <f t="shared" si="20"/>
        <v>86291.249817641452</v>
      </c>
      <c r="G50" s="486">
        <f t="shared" si="21"/>
        <v>20241.735593199694</v>
      </c>
      <c r="H50" s="455">
        <f t="shared" si="22"/>
        <v>20241.735593199694</v>
      </c>
      <c r="I50" s="475">
        <f t="shared" si="23"/>
        <v>0</v>
      </c>
      <c r="J50" s="475"/>
      <c r="K50" s="487"/>
      <c r="L50" s="478">
        <f t="shared" si="24"/>
        <v>0</v>
      </c>
      <c r="M50" s="487"/>
      <c r="N50" s="478">
        <f t="shared" si="25"/>
        <v>0</v>
      </c>
      <c r="O50" s="478">
        <f t="shared" si="26"/>
        <v>0</v>
      </c>
      <c r="P50" s="242"/>
    </row>
    <row r="51" spans="2:16" ht="12.5">
      <c r="B51" s="160" t="str">
        <f t="shared" si="6"/>
        <v/>
      </c>
      <c r="C51" s="472">
        <f>IF(D11="","-",+C50+1)</f>
        <v>2040</v>
      </c>
      <c r="D51" s="485">
        <f>IF(F50+SUM(E$17:E50)=D$10,F50,D$10-SUM(E$17:E50))</f>
        <v>86291.249817641452</v>
      </c>
      <c r="E51" s="484">
        <f>IF(+I14&lt;F50,I14,D51)</f>
        <v>9942.1025641025644</v>
      </c>
      <c r="F51" s="485">
        <f t="shared" si="20"/>
        <v>76349.147253538889</v>
      </c>
      <c r="G51" s="486">
        <f t="shared" si="21"/>
        <v>19055.05666382617</v>
      </c>
      <c r="H51" s="455">
        <f t="shared" si="22"/>
        <v>19055.05666382617</v>
      </c>
      <c r="I51" s="475">
        <f t="shared" si="23"/>
        <v>0</v>
      </c>
      <c r="J51" s="475"/>
      <c r="K51" s="487"/>
      <c r="L51" s="478">
        <f t="shared" si="24"/>
        <v>0</v>
      </c>
      <c r="M51" s="487"/>
      <c r="N51" s="478">
        <f t="shared" si="25"/>
        <v>0</v>
      </c>
      <c r="O51" s="478">
        <f t="shared" si="26"/>
        <v>0</v>
      </c>
      <c r="P51" s="242"/>
    </row>
    <row r="52" spans="2:16" ht="12.5">
      <c r="B52" s="160" t="str">
        <f t="shared" si="6"/>
        <v/>
      </c>
      <c r="C52" s="472">
        <f>IF(D11="","-",+C51+1)</f>
        <v>2041</v>
      </c>
      <c r="D52" s="485">
        <f>IF(F51+SUM(E$17:E51)=D$10,F51,D$10-SUM(E$17:E51))</f>
        <v>76349.147253538889</v>
      </c>
      <c r="E52" s="484">
        <f>IF(+I14&lt;F51,I14,D52)</f>
        <v>9942.1025641025644</v>
      </c>
      <c r="F52" s="485">
        <f t="shared" si="20"/>
        <v>66407.044689436327</v>
      </c>
      <c r="G52" s="486">
        <f t="shared" si="21"/>
        <v>17868.377734452646</v>
      </c>
      <c r="H52" s="455">
        <f t="shared" si="22"/>
        <v>17868.377734452646</v>
      </c>
      <c r="I52" s="475">
        <f t="shared" si="23"/>
        <v>0</v>
      </c>
      <c r="J52" s="475"/>
      <c r="K52" s="487"/>
      <c r="L52" s="478">
        <f t="shared" si="24"/>
        <v>0</v>
      </c>
      <c r="M52" s="487"/>
      <c r="N52" s="478">
        <f t="shared" si="25"/>
        <v>0</v>
      </c>
      <c r="O52" s="478">
        <f t="shared" si="26"/>
        <v>0</v>
      </c>
      <c r="P52" s="242"/>
    </row>
    <row r="53" spans="2:16" ht="12.5">
      <c r="B53" s="160" t="str">
        <f t="shared" si="6"/>
        <v/>
      </c>
      <c r="C53" s="472">
        <f>IF(D11="","-",+C52+1)</f>
        <v>2042</v>
      </c>
      <c r="D53" s="485">
        <f>IF(F52+SUM(E$17:E52)=D$10,F52,D$10-SUM(E$17:E52))</f>
        <v>66407.044689436327</v>
      </c>
      <c r="E53" s="484">
        <f>IF(+I14&lt;F52,I14,D53)</f>
        <v>9942.1025641025644</v>
      </c>
      <c r="F53" s="485">
        <f t="shared" si="20"/>
        <v>56464.942125333764</v>
      </c>
      <c r="G53" s="486">
        <f t="shared" si="21"/>
        <v>16681.698805079122</v>
      </c>
      <c r="H53" s="455">
        <f t="shared" si="22"/>
        <v>16681.698805079122</v>
      </c>
      <c r="I53" s="475">
        <f t="shared" si="23"/>
        <v>0</v>
      </c>
      <c r="J53" s="475"/>
      <c r="K53" s="487"/>
      <c r="L53" s="478">
        <f t="shared" si="24"/>
        <v>0</v>
      </c>
      <c r="M53" s="487"/>
      <c r="N53" s="478">
        <f t="shared" si="25"/>
        <v>0</v>
      </c>
      <c r="O53" s="478">
        <f t="shared" si="26"/>
        <v>0</v>
      </c>
      <c r="P53" s="242"/>
    </row>
    <row r="54" spans="2:16" ht="12.5">
      <c r="B54" s="160" t="str">
        <f t="shared" si="6"/>
        <v/>
      </c>
      <c r="C54" s="472">
        <f>IF(D11="","-",+C53+1)</f>
        <v>2043</v>
      </c>
      <c r="D54" s="485">
        <f>IF(F53+SUM(E$17:E53)=D$10,F53,D$10-SUM(E$17:E53))</f>
        <v>56464.942125333764</v>
      </c>
      <c r="E54" s="484">
        <f>IF(+I14&lt;F53,I14,D54)</f>
        <v>9942.1025641025644</v>
      </c>
      <c r="F54" s="485">
        <f t="shared" si="20"/>
        <v>46522.839561231202</v>
      </c>
      <c r="G54" s="486">
        <f t="shared" si="21"/>
        <v>15495.019875705599</v>
      </c>
      <c r="H54" s="455">
        <f t="shared" si="22"/>
        <v>15495.019875705599</v>
      </c>
      <c r="I54" s="475">
        <f t="shared" si="23"/>
        <v>0</v>
      </c>
      <c r="J54" s="475"/>
      <c r="K54" s="487"/>
      <c r="L54" s="478">
        <f t="shared" si="24"/>
        <v>0</v>
      </c>
      <c r="M54" s="487"/>
      <c r="N54" s="478">
        <f t="shared" si="25"/>
        <v>0</v>
      </c>
      <c r="O54" s="478">
        <f t="shared" si="26"/>
        <v>0</v>
      </c>
      <c r="P54" s="242"/>
    </row>
    <row r="55" spans="2:16" ht="12.5">
      <c r="B55" s="160" t="str">
        <f t="shared" si="6"/>
        <v/>
      </c>
      <c r="C55" s="472">
        <f>IF(D11="","-",+C54+1)</f>
        <v>2044</v>
      </c>
      <c r="D55" s="485">
        <f>IF(F54+SUM(E$17:E54)=D$10,F54,D$10-SUM(E$17:E54))</f>
        <v>46522.839561231202</v>
      </c>
      <c r="E55" s="484">
        <f>IF(+I14&lt;F54,I14,D55)</f>
        <v>9942.1025641025644</v>
      </c>
      <c r="F55" s="485">
        <f t="shared" si="20"/>
        <v>36580.736997128639</v>
      </c>
      <c r="G55" s="486">
        <f t="shared" si="21"/>
        <v>14308.340946332075</v>
      </c>
      <c r="H55" s="455">
        <f t="shared" si="22"/>
        <v>14308.340946332075</v>
      </c>
      <c r="I55" s="475">
        <f t="shared" si="23"/>
        <v>0</v>
      </c>
      <c r="J55" s="475"/>
      <c r="K55" s="487"/>
      <c r="L55" s="478">
        <f t="shared" si="24"/>
        <v>0</v>
      </c>
      <c r="M55" s="487"/>
      <c r="N55" s="478">
        <f t="shared" si="25"/>
        <v>0</v>
      </c>
      <c r="O55" s="478">
        <f t="shared" si="26"/>
        <v>0</v>
      </c>
      <c r="P55" s="242"/>
    </row>
    <row r="56" spans="2:16" ht="12.5">
      <c r="B56" s="160" t="str">
        <f t="shared" si="6"/>
        <v/>
      </c>
      <c r="C56" s="472">
        <f>IF(D11="","-",+C55+1)</f>
        <v>2045</v>
      </c>
      <c r="D56" s="485">
        <f>IF(F55+SUM(E$17:E55)=D$10,F55,D$10-SUM(E$17:E55))</f>
        <v>36580.736997128639</v>
      </c>
      <c r="E56" s="484">
        <f>IF(+I14&lt;F55,I14,D56)</f>
        <v>9942.1025641025644</v>
      </c>
      <c r="F56" s="485">
        <f t="shared" si="20"/>
        <v>26638.634433026076</v>
      </c>
      <c r="G56" s="486">
        <f t="shared" si="21"/>
        <v>13121.662016958553</v>
      </c>
      <c r="H56" s="455">
        <f t="shared" si="22"/>
        <v>13121.662016958553</v>
      </c>
      <c r="I56" s="475">
        <f t="shared" si="23"/>
        <v>0</v>
      </c>
      <c r="J56" s="475"/>
      <c r="K56" s="487"/>
      <c r="L56" s="478">
        <f t="shared" si="24"/>
        <v>0</v>
      </c>
      <c r="M56" s="487"/>
      <c r="N56" s="478">
        <f t="shared" si="25"/>
        <v>0</v>
      </c>
      <c r="O56" s="478">
        <f t="shared" si="26"/>
        <v>0</v>
      </c>
      <c r="P56" s="242"/>
    </row>
    <row r="57" spans="2:16" ht="12.5">
      <c r="B57" s="160" t="str">
        <f t="shared" si="6"/>
        <v/>
      </c>
      <c r="C57" s="472">
        <f>IF(D11="","-",+C56+1)</f>
        <v>2046</v>
      </c>
      <c r="D57" s="485">
        <f>IF(F56+SUM(E$17:E56)=D$10,F56,D$10-SUM(E$17:E56))</f>
        <v>26638.634433026076</v>
      </c>
      <c r="E57" s="484">
        <f>IF(+I14&lt;F56,I14,D57)</f>
        <v>9942.1025641025644</v>
      </c>
      <c r="F57" s="485">
        <f t="shared" si="20"/>
        <v>16696.531868923514</v>
      </c>
      <c r="G57" s="486">
        <f t="shared" si="21"/>
        <v>11934.983087585029</v>
      </c>
      <c r="H57" s="455">
        <f t="shared" si="22"/>
        <v>11934.983087585029</v>
      </c>
      <c r="I57" s="475">
        <f t="shared" si="23"/>
        <v>0</v>
      </c>
      <c r="J57" s="475"/>
      <c r="K57" s="487"/>
      <c r="L57" s="478">
        <f t="shared" si="24"/>
        <v>0</v>
      </c>
      <c r="M57" s="487"/>
      <c r="N57" s="478">
        <f t="shared" si="25"/>
        <v>0</v>
      </c>
      <c r="O57" s="478">
        <f t="shared" si="26"/>
        <v>0</v>
      </c>
      <c r="P57" s="242"/>
    </row>
    <row r="58" spans="2:16" ht="12.5">
      <c r="B58" s="160" t="str">
        <f t="shared" si="6"/>
        <v/>
      </c>
      <c r="C58" s="472">
        <f>IF(D11="","-",+C57+1)</f>
        <v>2047</v>
      </c>
      <c r="D58" s="485">
        <f>IF(F57+SUM(E$17:E57)=D$10,F57,D$10-SUM(E$17:E57))</f>
        <v>16696.531868923514</v>
      </c>
      <c r="E58" s="484">
        <f>IF(+I14&lt;F57,I14,D58)</f>
        <v>9942.1025641025644</v>
      </c>
      <c r="F58" s="485">
        <f t="shared" si="20"/>
        <v>6754.4293048209493</v>
      </c>
      <c r="G58" s="486">
        <f t="shared" si="21"/>
        <v>10748.304158211506</v>
      </c>
      <c r="H58" s="455">
        <f t="shared" si="22"/>
        <v>10748.304158211506</v>
      </c>
      <c r="I58" s="475">
        <f t="shared" si="23"/>
        <v>0</v>
      </c>
      <c r="J58" s="475"/>
      <c r="K58" s="487"/>
      <c r="L58" s="478">
        <f t="shared" si="24"/>
        <v>0</v>
      </c>
      <c r="M58" s="487"/>
      <c r="N58" s="478">
        <f t="shared" si="25"/>
        <v>0</v>
      </c>
      <c r="O58" s="478">
        <f t="shared" si="26"/>
        <v>0</v>
      </c>
      <c r="P58" s="242"/>
    </row>
    <row r="59" spans="2:16" ht="12.5">
      <c r="B59" s="160" t="str">
        <f t="shared" si="6"/>
        <v/>
      </c>
      <c r="C59" s="472">
        <f>IF(D11="","-",+C58+1)</f>
        <v>2048</v>
      </c>
      <c r="D59" s="485">
        <f>IF(F58+SUM(E$17:E58)=D$10,F58,D$10-SUM(E$17:E58))</f>
        <v>6754.4293048209493</v>
      </c>
      <c r="E59" s="484">
        <f>IF(+I14&lt;F58,I14,D59)</f>
        <v>6754.4293048209493</v>
      </c>
      <c r="F59" s="485">
        <f t="shared" si="20"/>
        <v>0</v>
      </c>
      <c r="G59" s="486">
        <f t="shared" si="21"/>
        <v>6754.4293048209493</v>
      </c>
      <c r="H59" s="455">
        <f t="shared" si="22"/>
        <v>6754.4293048209493</v>
      </c>
      <c r="I59" s="475">
        <f t="shared" si="23"/>
        <v>0</v>
      </c>
      <c r="J59" s="475"/>
      <c r="K59" s="487"/>
      <c r="L59" s="478">
        <f t="shared" si="24"/>
        <v>0</v>
      </c>
      <c r="M59" s="487"/>
      <c r="N59" s="478">
        <f t="shared" si="25"/>
        <v>0</v>
      </c>
      <c r="O59" s="478">
        <f t="shared" si="26"/>
        <v>0</v>
      </c>
      <c r="P59" s="242"/>
    </row>
    <row r="60" spans="2:16" ht="12.5">
      <c r="B60" s="160" t="str">
        <f t="shared" si="6"/>
        <v/>
      </c>
      <c r="C60" s="472">
        <f>IF(D11="","-",+C59+1)</f>
        <v>2049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0"/>
        <v>0</v>
      </c>
      <c r="G60" s="486">
        <f t="shared" si="21"/>
        <v>0</v>
      </c>
      <c r="H60" s="455">
        <f t="shared" si="22"/>
        <v>0</v>
      </c>
      <c r="I60" s="475">
        <f t="shared" si="23"/>
        <v>0</v>
      </c>
      <c r="J60" s="475"/>
      <c r="K60" s="487"/>
      <c r="L60" s="478">
        <f t="shared" si="24"/>
        <v>0</v>
      </c>
      <c r="M60" s="487"/>
      <c r="N60" s="478">
        <f t="shared" si="25"/>
        <v>0</v>
      </c>
      <c r="O60" s="478">
        <f t="shared" si="26"/>
        <v>0</v>
      </c>
      <c r="P60" s="242"/>
    </row>
    <row r="61" spans="2:16" ht="12.5">
      <c r="B61" s="160" t="str">
        <f t="shared" si="6"/>
        <v/>
      </c>
      <c r="C61" s="472">
        <f>IF(D11="","-",+C60+1)</f>
        <v>2050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0"/>
        <v>0</v>
      </c>
      <c r="G61" s="488">
        <f t="shared" si="21"/>
        <v>0</v>
      </c>
      <c r="H61" s="455">
        <f t="shared" si="22"/>
        <v>0</v>
      </c>
      <c r="I61" s="475">
        <f t="shared" si="23"/>
        <v>0</v>
      </c>
      <c r="J61" s="475"/>
      <c r="K61" s="487"/>
      <c r="L61" s="478">
        <f t="shared" si="24"/>
        <v>0</v>
      </c>
      <c r="M61" s="487"/>
      <c r="N61" s="478">
        <f t="shared" si="25"/>
        <v>0</v>
      </c>
      <c r="O61" s="478">
        <f t="shared" si="26"/>
        <v>0</v>
      </c>
      <c r="P61" s="242"/>
    </row>
    <row r="62" spans="2:16" ht="12.5">
      <c r="B62" s="160" t="str">
        <f t="shared" si="6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21"/>
        <v>0</v>
      </c>
      <c r="H62" s="455">
        <f t="shared" si="22"/>
        <v>0</v>
      </c>
      <c r="I62" s="475">
        <f t="shared" si="23"/>
        <v>0</v>
      </c>
      <c r="J62" s="475"/>
      <c r="K62" s="487"/>
      <c r="L62" s="478">
        <f t="shared" si="24"/>
        <v>0</v>
      </c>
      <c r="M62" s="487"/>
      <c r="N62" s="478">
        <f t="shared" si="25"/>
        <v>0</v>
      </c>
      <c r="O62" s="478">
        <f t="shared" si="26"/>
        <v>0</v>
      </c>
      <c r="P62" s="242"/>
    </row>
    <row r="63" spans="2:16" ht="12.5">
      <c r="B63" s="160" t="str">
        <f t="shared" si="6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21"/>
        <v>0</v>
      </c>
      <c r="H63" s="455">
        <f t="shared" si="22"/>
        <v>0</v>
      </c>
      <c r="I63" s="475">
        <f t="shared" si="23"/>
        <v>0</v>
      </c>
      <c r="J63" s="475"/>
      <c r="K63" s="487"/>
      <c r="L63" s="478">
        <f t="shared" si="24"/>
        <v>0</v>
      </c>
      <c r="M63" s="487"/>
      <c r="N63" s="478">
        <f t="shared" si="25"/>
        <v>0</v>
      </c>
      <c r="O63" s="478">
        <f t="shared" si="26"/>
        <v>0</v>
      </c>
      <c r="P63" s="242"/>
    </row>
    <row r="64" spans="2:16" ht="12.5">
      <c r="B64" s="160" t="str">
        <f t="shared" si="6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21"/>
        <v>0</v>
      </c>
      <c r="H64" s="455">
        <f t="shared" si="22"/>
        <v>0</v>
      </c>
      <c r="I64" s="475">
        <f t="shared" si="23"/>
        <v>0</v>
      </c>
      <c r="J64" s="475"/>
      <c r="K64" s="487"/>
      <c r="L64" s="478">
        <f t="shared" si="24"/>
        <v>0</v>
      </c>
      <c r="M64" s="487"/>
      <c r="N64" s="478">
        <f t="shared" si="25"/>
        <v>0</v>
      </c>
      <c r="O64" s="478">
        <f t="shared" si="26"/>
        <v>0</v>
      </c>
      <c r="P64" s="242"/>
    </row>
    <row r="65" spans="2:16" ht="12.5">
      <c r="B65" s="160" t="str">
        <f t="shared" si="6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21"/>
        <v>0</v>
      </c>
      <c r="H65" s="455">
        <f t="shared" si="22"/>
        <v>0</v>
      </c>
      <c r="I65" s="475">
        <f t="shared" si="23"/>
        <v>0</v>
      </c>
      <c r="J65" s="475"/>
      <c r="K65" s="487"/>
      <c r="L65" s="478">
        <f t="shared" si="24"/>
        <v>0</v>
      </c>
      <c r="M65" s="487"/>
      <c r="N65" s="478">
        <f t="shared" si="25"/>
        <v>0</v>
      </c>
      <c r="O65" s="478">
        <f t="shared" si="26"/>
        <v>0</v>
      </c>
      <c r="P65" s="242"/>
    </row>
    <row r="66" spans="2:16" ht="12.5">
      <c r="B66" s="160" t="str">
        <f t="shared" si="6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21"/>
        <v>0</v>
      </c>
      <c r="H66" s="455">
        <f t="shared" si="22"/>
        <v>0</v>
      </c>
      <c r="I66" s="475">
        <f t="shared" si="23"/>
        <v>0</v>
      </c>
      <c r="J66" s="475"/>
      <c r="K66" s="487"/>
      <c r="L66" s="478">
        <f t="shared" si="24"/>
        <v>0</v>
      </c>
      <c r="M66" s="487"/>
      <c r="N66" s="478">
        <f t="shared" si="25"/>
        <v>0</v>
      </c>
      <c r="O66" s="478">
        <f t="shared" si="26"/>
        <v>0</v>
      </c>
      <c r="P66" s="242"/>
    </row>
    <row r="67" spans="2:16" ht="12.5">
      <c r="B67" s="160" t="str">
        <f t="shared" si="6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21"/>
        <v>0</v>
      </c>
      <c r="H67" s="455">
        <f t="shared" si="22"/>
        <v>0</v>
      </c>
      <c r="I67" s="475">
        <f t="shared" si="23"/>
        <v>0</v>
      </c>
      <c r="J67" s="475"/>
      <c r="K67" s="487"/>
      <c r="L67" s="478">
        <f t="shared" si="24"/>
        <v>0</v>
      </c>
      <c r="M67" s="487"/>
      <c r="N67" s="478">
        <f t="shared" si="25"/>
        <v>0</v>
      </c>
      <c r="O67" s="478">
        <f t="shared" si="26"/>
        <v>0</v>
      </c>
      <c r="P67" s="242"/>
    </row>
    <row r="68" spans="2:16" ht="12.5">
      <c r="B68" s="160" t="str">
        <f t="shared" si="6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21"/>
        <v>0</v>
      </c>
      <c r="H68" s="455">
        <f t="shared" si="22"/>
        <v>0</v>
      </c>
      <c r="I68" s="475">
        <f t="shared" si="23"/>
        <v>0</v>
      </c>
      <c r="J68" s="475"/>
      <c r="K68" s="487"/>
      <c r="L68" s="478">
        <f t="shared" si="24"/>
        <v>0</v>
      </c>
      <c r="M68" s="487"/>
      <c r="N68" s="478">
        <f t="shared" si="25"/>
        <v>0</v>
      </c>
      <c r="O68" s="478">
        <f t="shared" si="26"/>
        <v>0</v>
      </c>
      <c r="P68" s="242"/>
    </row>
    <row r="69" spans="2:16" ht="12.5">
      <c r="B69" s="160" t="str">
        <f t="shared" si="6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21"/>
        <v>0</v>
      </c>
      <c r="H69" s="455">
        <f t="shared" si="22"/>
        <v>0</v>
      </c>
      <c r="I69" s="475">
        <f t="shared" si="23"/>
        <v>0</v>
      </c>
      <c r="J69" s="475"/>
      <c r="K69" s="487"/>
      <c r="L69" s="478">
        <f t="shared" si="24"/>
        <v>0</v>
      </c>
      <c r="M69" s="487"/>
      <c r="N69" s="478">
        <f t="shared" si="25"/>
        <v>0</v>
      </c>
      <c r="O69" s="478">
        <f t="shared" si="26"/>
        <v>0</v>
      </c>
      <c r="P69" s="242"/>
    </row>
    <row r="70" spans="2:16" ht="12.5">
      <c r="B70" s="160" t="str">
        <f t="shared" si="6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21"/>
        <v>0</v>
      </c>
      <c r="H70" s="455">
        <f t="shared" si="22"/>
        <v>0</v>
      </c>
      <c r="I70" s="475">
        <f t="shared" si="23"/>
        <v>0</v>
      </c>
      <c r="J70" s="475"/>
      <c r="K70" s="487"/>
      <c r="L70" s="478">
        <f t="shared" si="24"/>
        <v>0</v>
      </c>
      <c r="M70" s="487"/>
      <c r="N70" s="478">
        <f t="shared" si="25"/>
        <v>0</v>
      </c>
      <c r="O70" s="478">
        <f t="shared" si="26"/>
        <v>0</v>
      </c>
      <c r="P70" s="242"/>
    </row>
    <row r="71" spans="2:16" ht="12.5">
      <c r="B71" s="160" t="str">
        <f t="shared" si="6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21"/>
        <v>0</v>
      </c>
      <c r="H71" s="455">
        <f t="shared" si="22"/>
        <v>0</v>
      </c>
      <c r="I71" s="475">
        <f t="shared" si="23"/>
        <v>0</v>
      </c>
      <c r="J71" s="475"/>
      <c r="K71" s="487"/>
      <c r="L71" s="478">
        <f t="shared" si="24"/>
        <v>0</v>
      </c>
      <c r="M71" s="487"/>
      <c r="N71" s="478">
        <f t="shared" si="25"/>
        <v>0</v>
      </c>
      <c r="O71" s="478">
        <f t="shared" si="26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21"/>
        <v>0</v>
      </c>
      <c r="H72" s="435">
        <f t="shared" si="22"/>
        <v>0</v>
      </c>
      <c r="I72" s="493">
        <f t="shared" si="23"/>
        <v>0</v>
      </c>
      <c r="J72" s="475"/>
      <c r="K72" s="494"/>
      <c r="L72" s="495">
        <f t="shared" si="24"/>
        <v>0</v>
      </c>
      <c r="M72" s="494"/>
      <c r="N72" s="495">
        <f t="shared" si="25"/>
        <v>0</v>
      </c>
      <c r="O72" s="495">
        <f t="shared" si="26"/>
        <v>0</v>
      </c>
      <c r="P72" s="242"/>
    </row>
    <row r="73" spans="2:16" ht="12.5">
      <c r="C73" s="346" t="s">
        <v>77</v>
      </c>
      <c r="D73" s="347"/>
      <c r="E73" s="347">
        <f>SUM(E17:E72)</f>
        <v>387742</v>
      </c>
      <c r="F73" s="347"/>
      <c r="G73" s="347">
        <f>SUM(G17:G72)</f>
        <v>1443472.0590479099</v>
      </c>
      <c r="H73" s="347">
        <f>SUM(H17:H72)</f>
        <v>1443472.0590479099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5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37540.281940264002</v>
      </c>
      <c r="N87" s="508">
        <f>IF(J92&lt;D11,0,VLOOKUP(J92,C17:O72,11))</f>
        <v>37540.281940264002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39968.546077508974</v>
      </c>
      <c r="N88" s="512">
        <f>IF(J92&lt;D11,0,VLOOKUP(J92,C99:P154,7))</f>
        <v>39968.546077508974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Catoosa 138 kV Device (Cap. Bank)</v>
      </c>
      <c r="E89" s="232"/>
      <c r="F89" s="232"/>
      <c r="G89" s="232">
        <v>387742</v>
      </c>
      <c r="H89" s="232"/>
      <c r="I89" s="241"/>
      <c r="J89" s="241"/>
      <c r="K89" s="515"/>
      <c r="L89" s="516" t="s">
        <v>156</v>
      </c>
      <c r="M89" s="517">
        <f>+M88-M87</f>
        <v>2428.2641372449725</v>
      </c>
      <c r="N89" s="517">
        <f>+N88-N87</f>
        <v>2428.2641372449725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TP2005006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387742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9457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2006</v>
      </c>
      <c r="D99" s="473">
        <f>IF(D93=C99,0,D92)</f>
        <v>0</v>
      </c>
      <c r="E99" s="480">
        <v>3801</v>
      </c>
      <c r="F99" s="479">
        <v>383941</v>
      </c>
      <c r="G99" s="537">
        <v>385841</v>
      </c>
      <c r="H99" s="538">
        <v>0</v>
      </c>
      <c r="I99" s="539">
        <v>0</v>
      </c>
      <c r="J99" s="478">
        <f t="shared" ref="J99:J130" si="27">+I99-H99</f>
        <v>0</v>
      </c>
      <c r="K99" s="478"/>
      <c r="L99" s="554">
        <v>0</v>
      </c>
      <c r="M99" s="562">
        <f>IF(L99&lt;&gt;0,+H99-L99,0)</f>
        <v>0</v>
      </c>
      <c r="N99" s="554">
        <v>0</v>
      </c>
      <c r="O99" s="477">
        <f>IF(N99&lt;&gt;0,+I99-N99,0)</f>
        <v>0</v>
      </c>
      <c r="P99" s="477">
        <f t="shared" ref="P99:P130" si="28">+O99-M99</f>
        <v>0</v>
      </c>
    </row>
    <row r="100" spans="1:16" ht="12.5">
      <c r="B100" s="160" t="str">
        <f t="shared" ref="B100:B154" si="29">IF(D100=F99,"","IU")</f>
        <v/>
      </c>
      <c r="C100" s="472">
        <f>IF(D93="","-",+C99+1)</f>
        <v>2007</v>
      </c>
      <c r="D100" s="473">
        <v>383941</v>
      </c>
      <c r="E100" s="561">
        <v>7603</v>
      </c>
      <c r="F100" s="479">
        <v>376338</v>
      </c>
      <c r="G100" s="479">
        <v>380140</v>
      </c>
      <c r="H100" s="480">
        <v>66528</v>
      </c>
      <c r="I100" s="481">
        <v>66528</v>
      </c>
      <c r="J100" s="478">
        <f t="shared" si="27"/>
        <v>0</v>
      </c>
      <c r="K100" s="478"/>
      <c r="L100" s="476">
        <v>0</v>
      </c>
      <c r="M100" s="550">
        <f>IF(L100&lt;&gt;0,+H100-L100,0)</f>
        <v>0</v>
      </c>
      <c r="N100" s="476">
        <v>0</v>
      </c>
      <c r="O100" s="478">
        <f>IF(N100&lt;&gt;0,+I100-N100,0)</f>
        <v>0</v>
      </c>
      <c r="P100" s="478">
        <f t="shared" si="28"/>
        <v>0</v>
      </c>
    </row>
    <row r="101" spans="1:16" ht="12.5">
      <c r="B101" s="160"/>
      <c r="C101" s="472">
        <f>IF(D93="","-",+C100+1)</f>
        <v>2008</v>
      </c>
      <c r="D101" s="473">
        <v>376159</v>
      </c>
      <c r="E101" s="561">
        <v>7316</v>
      </c>
      <c r="F101" s="479">
        <v>368843</v>
      </c>
      <c r="G101" s="479">
        <v>372501</v>
      </c>
      <c r="H101" s="480">
        <v>66486</v>
      </c>
      <c r="I101" s="481">
        <v>66486</v>
      </c>
      <c r="J101" s="478">
        <f t="shared" si="27"/>
        <v>0</v>
      </c>
      <c r="K101" s="478"/>
      <c r="L101" s="476">
        <v>66486</v>
      </c>
      <c r="M101" s="478">
        <f>IF(L101&lt;&gt;"",+H101-L101,0)</f>
        <v>0</v>
      </c>
      <c r="N101" s="476">
        <v>66486</v>
      </c>
      <c r="O101" s="478">
        <f>IF(N101&lt;&gt;"",+I101-N101,0)</f>
        <v>0</v>
      </c>
      <c r="P101" s="478">
        <f t="shared" si="28"/>
        <v>0</v>
      </c>
    </row>
    <row r="102" spans="1:16" ht="12.5">
      <c r="B102" s="160"/>
      <c r="C102" s="472">
        <f>IF(D93="","-",+C101+1)</f>
        <v>2009</v>
      </c>
      <c r="D102" s="473">
        <v>369022</v>
      </c>
      <c r="E102" s="480">
        <v>6924</v>
      </c>
      <c r="F102" s="479">
        <v>362098</v>
      </c>
      <c r="G102" s="479">
        <v>365560</v>
      </c>
      <c r="H102" s="480">
        <v>60371.899487403767</v>
      </c>
      <c r="I102" s="481">
        <v>60371.899487403767</v>
      </c>
      <c r="J102" s="478">
        <f t="shared" si="27"/>
        <v>0</v>
      </c>
      <c r="K102" s="478"/>
      <c r="L102" s="476">
        <f t="shared" ref="L102:L107" si="30">H102</f>
        <v>60371.899487403767</v>
      </c>
      <c r="M102" s="550">
        <f t="shared" ref="M102:M133" si="31">IF(L102&lt;&gt;0,+H102-L102,0)</f>
        <v>0</v>
      </c>
      <c r="N102" s="476">
        <f t="shared" ref="N102:N107" si="32">I102</f>
        <v>60371.899487403767</v>
      </c>
      <c r="O102" s="478">
        <f t="shared" ref="O102:O133" si="33">IF(N102&lt;&gt;0,+I102-N102,0)</f>
        <v>0</v>
      </c>
      <c r="P102" s="478">
        <f t="shared" si="28"/>
        <v>0</v>
      </c>
    </row>
    <row r="103" spans="1:16" ht="12.5">
      <c r="B103" s="160" t="str">
        <f t="shared" si="29"/>
        <v/>
      </c>
      <c r="C103" s="472">
        <f>IF(D93="","-",+C102+1)</f>
        <v>2010</v>
      </c>
      <c r="D103" s="473">
        <v>362098</v>
      </c>
      <c r="E103" s="480">
        <v>7603</v>
      </c>
      <c r="F103" s="479">
        <v>354495</v>
      </c>
      <c r="G103" s="479">
        <v>358296.5</v>
      </c>
      <c r="H103" s="480">
        <v>65222.531099646738</v>
      </c>
      <c r="I103" s="481">
        <v>65222.531099646738</v>
      </c>
      <c r="J103" s="478">
        <f t="shared" si="27"/>
        <v>0</v>
      </c>
      <c r="K103" s="478"/>
      <c r="L103" s="540">
        <f t="shared" si="30"/>
        <v>65222.531099646738</v>
      </c>
      <c r="M103" s="541">
        <f t="shared" si="31"/>
        <v>0</v>
      </c>
      <c r="N103" s="540">
        <f t="shared" si="32"/>
        <v>65222.531099646738</v>
      </c>
      <c r="O103" s="478">
        <f t="shared" si="33"/>
        <v>0</v>
      </c>
      <c r="P103" s="478">
        <f t="shared" si="28"/>
        <v>0</v>
      </c>
    </row>
    <row r="104" spans="1:16" ht="12.5">
      <c r="B104" s="160" t="str">
        <f t="shared" si="29"/>
        <v/>
      </c>
      <c r="C104" s="472">
        <f>IF(D93="","-",+C103+1)</f>
        <v>2011</v>
      </c>
      <c r="D104" s="473">
        <v>354495</v>
      </c>
      <c r="E104" s="480">
        <v>7457</v>
      </c>
      <c r="F104" s="479">
        <v>347038</v>
      </c>
      <c r="G104" s="479">
        <v>350766.5</v>
      </c>
      <c r="H104" s="480">
        <v>56498.870276795831</v>
      </c>
      <c r="I104" s="481">
        <v>56498.870276795831</v>
      </c>
      <c r="J104" s="478">
        <f t="shared" si="27"/>
        <v>0</v>
      </c>
      <c r="K104" s="478"/>
      <c r="L104" s="540">
        <f t="shared" si="30"/>
        <v>56498.870276795831</v>
      </c>
      <c r="M104" s="541">
        <f t="shared" si="31"/>
        <v>0</v>
      </c>
      <c r="N104" s="540">
        <f t="shared" si="32"/>
        <v>56498.870276795831</v>
      </c>
      <c r="O104" s="478">
        <f t="shared" si="33"/>
        <v>0</v>
      </c>
      <c r="P104" s="478">
        <f t="shared" si="28"/>
        <v>0</v>
      </c>
    </row>
    <row r="105" spans="1:16" ht="12.5">
      <c r="B105" s="160" t="str">
        <f t="shared" si="29"/>
        <v/>
      </c>
      <c r="C105" s="472">
        <f>IF(D93="","-",+C104+1)</f>
        <v>2012</v>
      </c>
      <c r="D105" s="473">
        <v>347038</v>
      </c>
      <c r="E105" s="480">
        <v>7457</v>
      </c>
      <c r="F105" s="479">
        <v>339581</v>
      </c>
      <c r="G105" s="479">
        <v>343309.5</v>
      </c>
      <c r="H105" s="480">
        <v>56843.953528154576</v>
      </c>
      <c r="I105" s="481">
        <v>56843.953528154576</v>
      </c>
      <c r="J105" s="478">
        <v>0</v>
      </c>
      <c r="K105" s="478"/>
      <c r="L105" s="540">
        <f t="shared" si="30"/>
        <v>56843.953528154576</v>
      </c>
      <c r="M105" s="541">
        <f t="shared" ref="M105:M110" si="34">IF(L105&lt;&gt;0,+H105-L105,0)</f>
        <v>0</v>
      </c>
      <c r="N105" s="540">
        <f t="shared" si="32"/>
        <v>56843.953528154576</v>
      </c>
      <c r="O105" s="478">
        <f t="shared" ref="O105:O110" si="35">IF(N105&lt;&gt;0,+I105-N105,0)</f>
        <v>0</v>
      </c>
      <c r="P105" s="478">
        <f t="shared" ref="P105:P110" si="36">+O105-M105</f>
        <v>0</v>
      </c>
    </row>
    <row r="106" spans="1:16" ht="12.5">
      <c r="B106" s="160" t="str">
        <f t="shared" si="29"/>
        <v/>
      </c>
      <c r="C106" s="472">
        <f>IF(D93="","-",+C105+1)</f>
        <v>2013</v>
      </c>
      <c r="D106" s="473">
        <v>339581</v>
      </c>
      <c r="E106" s="480">
        <v>7457</v>
      </c>
      <c r="F106" s="479">
        <v>332124</v>
      </c>
      <c r="G106" s="479">
        <v>335852.5</v>
      </c>
      <c r="H106" s="480">
        <v>55799.472473591821</v>
      </c>
      <c r="I106" s="481">
        <v>55799.472473591821</v>
      </c>
      <c r="J106" s="478">
        <v>0</v>
      </c>
      <c r="K106" s="478"/>
      <c r="L106" s="540">
        <f t="shared" si="30"/>
        <v>55799.472473591821</v>
      </c>
      <c r="M106" s="541">
        <f t="shared" si="34"/>
        <v>0</v>
      </c>
      <c r="N106" s="540">
        <f t="shared" si="32"/>
        <v>55799.472473591821</v>
      </c>
      <c r="O106" s="478">
        <f t="shared" si="35"/>
        <v>0</v>
      </c>
      <c r="P106" s="478">
        <f t="shared" si="36"/>
        <v>0</v>
      </c>
    </row>
    <row r="107" spans="1:16" ht="12.5">
      <c r="B107" s="160" t="str">
        <f t="shared" si="29"/>
        <v/>
      </c>
      <c r="C107" s="472">
        <f>IF(D93="","-",+C106+1)</f>
        <v>2014</v>
      </c>
      <c r="D107" s="473">
        <v>332124</v>
      </c>
      <c r="E107" s="480">
        <v>7457</v>
      </c>
      <c r="F107" s="479">
        <v>324667</v>
      </c>
      <c r="G107" s="479">
        <v>328395.5</v>
      </c>
      <c r="H107" s="480">
        <v>53628.064898886892</v>
      </c>
      <c r="I107" s="481">
        <v>53628.064898886892</v>
      </c>
      <c r="J107" s="478">
        <v>0</v>
      </c>
      <c r="K107" s="478"/>
      <c r="L107" s="540">
        <f t="shared" si="30"/>
        <v>53628.064898886892</v>
      </c>
      <c r="M107" s="541">
        <f t="shared" si="34"/>
        <v>0</v>
      </c>
      <c r="N107" s="540">
        <f t="shared" si="32"/>
        <v>53628.064898886892</v>
      </c>
      <c r="O107" s="478">
        <f t="shared" si="35"/>
        <v>0</v>
      </c>
      <c r="P107" s="478">
        <f t="shared" si="36"/>
        <v>0</v>
      </c>
    </row>
    <row r="108" spans="1:16" ht="12.5">
      <c r="B108" s="160" t="str">
        <f t="shared" si="29"/>
        <v/>
      </c>
      <c r="C108" s="472">
        <f>IF(D93="","-",+C107+1)</f>
        <v>2015</v>
      </c>
      <c r="D108" s="473">
        <v>324667</v>
      </c>
      <c r="E108" s="480">
        <v>7457</v>
      </c>
      <c r="F108" s="479">
        <v>317210</v>
      </c>
      <c r="G108" s="479">
        <v>320938.5</v>
      </c>
      <c r="H108" s="480">
        <v>51246.477852296055</v>
      </c>
      <c r="I108" s="481">
        <v>51246.477852296055</v>
      </c>
      <c r="J108" s="478">
        <f t="shared" si="27"/>
        <v>0</v>
      </c>
      <c r="K108" s="478"/>
      <c r="L108" s="540">
        <f t="shared" ref="L108:L113" si="37">H108</f>
        <v>51246.477852296055</v>
      </c>
      <c r="M108" s="541">
        <f t="shared" si="34"/>
        <v>0</v>
      </c>
      <c r="N108" s="540">
        <f t="shared" ref="N108:N113" si="38">I108</f>
        <v>51246.477852296055</v>
      </c>
      <c r="O108" s="478">
        <f t="shared" si="35"/>
        <v>0</v>
      </c>
      <c r="P108" s="478">
        <f t="shared" si="36"/>
        <v>0</v>
      </c>
    </row>
    <row r="109" spans="1:16" ht="12.5">
      <c r="B109" s="160" t="str">
        <f t="shared" si="29"/>
        <v/>
      </c>
      <c r="C109" s="472">
        <f>IF(D93="","-",+C108+1)</f>
        <v>2016</v>
      </c>
      <c r="D109" s="473">
        <v>317210</v>
      </c>
      <c r="E109" s="480">
        <v>8429</v>
      </c>
      <c r="F109" s="479">
        <v>308781</v>
      </c>
      <c r="G109" s="479">
        <v>312995.5</v>
      </c>
      <c r="H109" s="480">
        <v>48779.04927680167</v>
      </c>
      <c r="I109" s="481">
        <v>48779.04927680167</v>
      </c>
      <c r="J109" s="478">
        <f t="shared" si="27"/>
        <v>0</v>
      </c>
      <c r="K109" s="478"/>
      <c r="L109" s="540">
        <f t="shared" si="37"/>
        <v>48779.04927680167</v>
      </c>
      <c r="M109" s="541">
        <f t="shared" si="34"/>
        <v>0</v>
      </c>
      <c r="N109" s="540">
        <f t="shared" si="38"/>
        <v>48779.04927680167</v>
      </c>
      <c r="O109" s="478">
        <f t="shared" si="35"/>
        <v>0</v>
      </c>
      <c r="P109" s="478">
        <f t="shared" si="36"/>
        <v>0</v>
      </c>
    </row>
    <row r="110" spans="1:16" ht="12.5">
      <c r="B110" s="160" t="str">
        <f t="shared" si="29"/>
        <v/>
      </c>
      <c r="C110" s="472">
        <f>IF(D93="","-",+C109+1)</f>
        <v>2017</v>
      </c>
      <c r="D110" s="473">
        <v>308781</v>
      </c>
      <c r="E110" s="480">
        <v>8429</v>
      </c>
      <c r="F110" s="479">
        <v>300352</v>
      </c>
      <c r="G110" s="479">
        <v>304566.5</v>
      </c>
      <c r="H110" s="480">
        <v>47064.028489702585</v>
      </c>
      <c r="I110" s="481">
        <v>47064.028489702585</v>
      </c>
      <c r="J110" s="478">
        <f t="shared" si="27"/>
        <v>0</v>
      </c>
      <c r="K110" s="478"/>
      <c r="L110" s="540">
        <f t="shared" si="37"/>
        <v>47064.028489702585</v>
      </c>
      <c r="M110" s="541">
        <f t="shared" si="34"/>
        <v>0</v>
      </c>
      <c r="N110" s="540">
        <f t="shared" si="38"/>
        <v>47064.028489702585</v>
      </c>
      <c r="O110" s="478">
        <f t="shared" si="35"/>
        <v>0</v>
      </c>
      <c r="P110" s="478">
        <f t="shared" si="36"/>
        <v>0</v>
      </c>
    </row>
    <row r="111" spans="1:16" ht="12.5">
      <c r="B111" s="160" t="str">
        <f t="shared" si="29"/>
        <v/>
      </c>
      <c r="C111" s="472">
        <f>IF(D93="","-",+C110+1)</f>
        <v>2018</v>
      </c>
      <c r="D111" s="473">
        <v>300352</v>
      </c>
      <c r="E111" s="480">
        <v>9017</v>
      </c>
      <c r="F111" s="479">
        <v>291335</v>
      </c>
      <c r="G111" s="479">
        <v>295843.5</v>
      </c>
      <c r="H111" s="480">
        <v>39410.649664559314</v>
      </c>
      <c r="I111" s="481">
        <v>39410.649664559314</v>
      </c>
      <c r="J111" s="478">
        <f t="shared" si="27"/>
        <v>0</v>
      </c>
      <c r="K111" s="478"/>
      <c r="L111" s="540">
        <f t="shared" si="37"/>
        <v>39410.649664559314</v>
      </c>
      <c r="M111" s="541">
        <f t="shared" ref="M111" si="39">IF(L111&lt;&gt;0,+H111-L111,0)</f>
        <v>0</v>
      </c>
      <c r="N111" s="540">
        <f t="shared" si="38"/>
        <v>39410.649664559314</v>
      </c>
      <c r="O111" s="478">
        <f t="shared" ref="O111" si="40">IF(N111&lt;&gt;0,+I111-N111,0)</f>
        <v>0</v>
      </c>
      <c r="P111" s="478">
        <f t="shared" ref="P111" si="41">+O111-M111</f>
        <v>0</v>
      </c>
    </row>
    <row r="112" spans="1:16" ht="12.5">
      <c r="B112" s="160" t="str">
        <f t="shared" si="29"/>
        <v/>
      </c>
      <c r="C112" s="472">
        <f>IF(D93="","-",+C111+1)</f>
        <v>2019</v>
      </c>
      <c r="D112" s="473">
        <v>291335</v>
      </c>
      <c r="E112" s="480">
        <v>9457</v>
      </c>
      <c r="F112" s="479">
        <v>281878</v>
      </c>
      <c r="G112" s="479">
        <v>286606.5</v>
      </c>
      <c r="H112" s="480">
        <v>39010.150115878176</v>
      </c>
      <c r="I112" s="481">
        <v>39010.150115878176</v>
      </c>
      <c r="J112" s="478">
        <f t="shared" si="27"/>
        <v>0</v>
      </c>
      <c r="K112" s="478"/>
      <c r="L112" s="540">
        <f t="shared" si="37"/>
        <v>39010.150115878176</v>
      </c>
      <c r="M112" s="541">
        <f t="shared" ref="M112:M113" si="42">IF(L112&lt;&gt;0,+H112-L112,0)</f>
        <v>0</v>
      </c>
      <c r="N112" s="540">
        <f t="shared" si="38"/>
        <v>39010.150115878176</v>
      </c>
      <c r="O112" s="478">
        <f t="shared" si="33"/>
        <v>0</v>
      </c>
      <c r="P112" s="478">
        <f t="shared" si="28"/>
        <v>0</v>
      </c>
    </row>
    <row r="113" spans="2:16" ht="12.5">
      <c r="B113" s="160" t="str">
        <f t="shared" si="29"/>
        <v/>
      </c>
      <c r="C113" s="472">
        <f>IF(D93="","-",+C112+1)</f>
        <v>2020</v>
      </c>
      <c r="D113" s="473">
        <v>281878</v>
      </c>
      <c r="E113" s="480">
        <v>9017</v>
      </c>
      <c r="F113" s="479">
        <v>272861</v>
      </c>
      <c r="G113" s="479">
        <v>277369.5</v>
      </c>
      <c r="H113" s="480">
        <v>40996.940785437022</v>
      </c>
      <c r="I113" s="481">
        <v>40996.940785437022</v>
      </c>
      <c r="J113" s="478">
        <f t="shared" si="27"/>
        <v>0</v>
      </c>
      <c r="K113" s="478"/>
      <c r="L113" s="540">
        <f t="shared" si="37"/>
        <v>40996.940785437022</v>
      </c>
      <c r="M113" s="541">
        <f t="shared" si="42"/>
        <v>0</v>
      </c>
      <c r="N113" s="540">
        <f t="shared" si="38"/>
        <v>40996.940785437022</v>
      </c>
      <c r="O113" s="478">
        <f t="shared" si="33"/>
        <v>0</v>
      </c>
      <c r="P113" s="478">
        <f t="shared" si="28"/>
        <v>0</v>
      </c>
    </row>
    <row r="114" spans="2:16" ht="12.5">
      <c r="B114" s="160" t="str">
        <f t="shared" si="29"/>
        <v/>
      </c>
      <c r="C114" s="472">
        <f>IF(D93="","-",+C113+1)</f>
        <v>2021</v>
      </c>
      <c r="D114" s="346">
        <f>IF(F113+SUM(E$99:E113)=D$92,F113,D$92-SUM(E$99:E113))</f>
        <v>272861</v>
      </c>
      <c r="E114" s="486">
        <f>IF(+J96&lt;F113,J96,D114)</f>
        <v>9457</v>
      </c>
      <c r="F114" s="485">
        <f t="shared" ref="F114:F130" si="43">+D114-E114</f>
        <v>263404</v>
      </c>
      <c r="G114" s="485">
        <f t="shared" ref="G114:G130" si="44">+(F114+D114)/2</f>
        <v>268132.5</v>
      </c>
      <c r="H114" s="488">
        <f t="shared" ref="H114:H154" si="45">+J$94*G114+E114</f>
        <v>39968.546077508974</v>
      </c>
      <c r="I114" s="542">
        <f t="shared" ref="I114:I154" si="46">+J$95*G114+E114</f>
        <v>39968.546077508974</v>
      </c>
      <c r="J114" s="478">
        <f t="shared" si="27"/>
        <v>0</v>
      </c>
      <c r="K114" s="478"/>
      <c r="L114" s="487"/>
      <c r="M114" s="478">
        <f t="shared" si="31"/>
        <v>0</v>
      </c>
      <c r="N114" s="487"/>
      <c r="O114" s="478">
        <f t="shared" si="33"/>
        <v>0</v>
      </c>
      <c r="P114" s="478">
        <f t="shared" si="28"/>
        <v>0</v>
      </c>
    </row>
    <row r="115" spans="2:16" ht="12.5">
      <c r="B115" s="160" t="str">
        <f t="shared" si="29"/>
        <v/>
      </c>
      <c r="C115" s="472">
        <f>IF(D93="","-",+C114+1)</f>
        <v>2022</v>
      </c>
      <c r="D115" s="346">
        <f>IF(F114+SUM(E$99:E114)=D$92,F114,D$92-SUM(E$99:E114))</f>
        <v>263404</v>
      </c>
      <c r="E115" s="486">
        <f>IF(+J96&lt;F114,J96,D115)</f>
        <v>9457</v>
      </c>
      <c r="F115" s="485">
        <f t="shared" si="43"/>
        <v>253947</v>
      </c>
      <c r="G115" s="485">
        <f t="shared" si="44"/>
        <v>258675.5</v>
      </c>
      <c r="H115" s="488">
        <f t="shared" si="45"/>
        <v>38892.407633810421</v>
      </c>
      <c r="I115" s="542">
        <f t="shared" si="46"/>
        <v>38892.407633810421</v>
      </c>
      <c r="J115" s="478">
        <f t="shared" si="27"/>
        <v>0</v>
      </c>
      <c r="K115" s="478"/>
      <c r="L115" s="487"/>
      <c r="M115" s="478">
        <f t="shared" si="31"/>
        <v>0</v>
      </c>
      <c r="N115" s="487"/>
      <c r="O115" s="478">
        <f t="shared" si="33"/>
        <v>0</v>
      </c>
      <c r="P115" s="478">
        <f t="shared" si="28"/>
        <v>0</v>
      </c>
    </row>
    <row r="116" spans="2:16" ht="12.5">
      <c r="B116" s="160" t="str">
        <f t="shared" si="29"/>
        <v/>
      </c>
      <c r="C116" s="472">
        <f>IF(D93="","-",+C115+1)</f>
        <v>2023</v>
      </c>
      <c r="D116" s="346">
        <f>IF(F115+SUM(E$99:E115)=D$92,F115,D$92-SUM(E$99:E115))</f>
        <v>253947</v>
      </c>
      <c r="E116" s="486">
        <f>IF(+J96&lt;F115,J96,D116)</f>
        <v>9457</v>
      </c>
      <c r="F116" s="485">
        <f t="shared" si="43"/>
        <v>244490</v>
      </c>
      <c r="G116" s="485">
        <f t="shared" si="44"/>
        <v>249218.5</v>
      </c>
      <c r="H116" s="488">
        <f t="shared" si="45"/>
        <v>37816.269190111867</v>
      </c>
      <c r="I116" s="542">
        <f t="shared" si="46"/>
        <v>37816.269190111867</v>
      </c>
      <c r="J116" s="478">
        <f t="shared" si="27"/>
        <v>0</v>
      </c>
      <c r="K116" s="478"/>
      <c r="L116" s="487"/>
      <c r="M116" s="478">
        <f t="shared" si="31"/>
        <v>0</v>
      </c>
      <c r="N116" s="487"/>
      <c r="O116" s="478">
        <f t="shared" si="33"/>
        <v>0</v>
      </c>
      <c r="P116" s="478">
        <f t="shared" si="28"/>
        <v>0</v>
      </c>
    </row>
    <row r="117" spans="2:16" ht="12.5">
      <c r="B117" s="160" t="str">
        <f t="shared" si="29"/>
        <v/>
      </c>
      <c r="C117" s="472">
        <f>IF(D93="","-",+C116+1)</f>
        <v>2024</v>
      </c>
      <c r="D117" s="346">
        <f>IF(F116+SUM(E$99:E116)=D$92,F116,D$92-SUM(E$99:E116))</f>
        <v>244490</v>
      </c>
      <c r="E117" s="486">
        <f>IF(+J96&lt;F116,J96,D117)</f>
        <v>9457</v>
      </c>
      <c r="F117" s="485">
        <f t="shared" si="43"/>
        <v>235033</v>
      </c>
      <c r="G117" s="485">
        <f t="shared" si="44"/>
        <v>239761.5</v>
      </c>
      <c r="H117" s="488">
        <f t="shared" si="45"/>
        <v>36740.130746413313</v>
      </c>
      <c r="I117" s="542">
        <f t="shared" si="46"/>
        <v>36740.130746413313</v>
      </c>
      <c r="J117" s="478">
        <f t="shared" si="27"/>
        <v>0</v>
      </c>
      <c r="K117" s="478"/>
      <c r="L117" s="487"/>
      <c r="M117" s="478">
        <f t="shared" si="31"/>
        <v>0</v>
      </c>
      <c r="N117" s="487"/>
      <c r="O117" s="478">
        <f t="shared" si="33"/>
        <v>0</v>
      </c>
      <c r="P117" s="478">
        <f t="shared" si="28"/>
        <v>0</v>
      </c>
    </row>
    <row r="118" spans="2:16" ht="12.5">
      <c r="B118" s="160" t="str">
        <f t="shared" si="29"/>
        <v/>
      </c>
      <c r="C118" s="472">
        <f>IF(D93="","-",+C117+1)</f>
        <v>2025</v>
      </c>
      <c r="D118" s="346">
        <f>IF(F117+SUM(E$99:E117)=D$92,F117,D$92-SUM(E$99:E117))</f>
        <v>235033</v>
      </c>
      <c r="E118" s="486">
        <f>IF(+J96&lt;F117,J96,D118)</f>
        <v>9457</v>
      </c>
      <c r="F118" s="485">
        <f t="shared" si="43"/>
        <v>225576</v>
      </c>
      <c r="G118" s="485">
        <f t="shared" si="44"/>
        <v>230304.5</v>
      </c>
      <c r="H118" s="488">
        <f t="shared" si="45"/>
        <v>35663.99230271476</v>
      </c>
      <c r="I118" s="542">
        <f t="shared" si="46"/>
        <v>35663.99230271476</v>
      </c>
      <c r="J118" s="478">
        <f t="shared" si="27"/>
        <v>0</v>
      </c>
      <c r="K118" s="478"/>
      <c r="L118" s="487"/>
      <c r="M118" s="478">
        <f t="shared" si="31"/>
        <v>0</v>
      </c>
      <c r="N118" s="487"/>
      <c r="O118" s="478">
        <f t="shared" si="33"/>
        <v>0</v>
      </c>
      <c r="P118" s="478">
        <f t="shared" si="28"/>
        <v>0</v>
      </c>
    </row>
    <row r="119" spans="2:16" ht="12.5">
      <c r="B119" s="160" t="str">
        <f t="shared" si="29"/>
        <v/>
      </c>
      <c r="C119" s="472">
        <f>IF(D93="","-",+C118+1)</f>
        <v>2026</v>
      </c>
      <c r="D119" s="346">
        <f>IF(F118+SUM(E$99:E118)=D$92,F118,D$92-SUM(E$99:E118))</f>
        <v>225576</v>
      </c>
      <c r="E119" s="486">
        <f>IF(+J96&lt;F118,J96,D119)</f>
        <v>9457</v>
      </c>
      <c r="F119" s="485">
        <f t="shared" si="43"/>
        <v>216119</v>
      </c>
      <c r="G119" s="485">
        <f t="shared" si="44"/>
        <v>220847.5</v>
      </c>
      <c r="H119" s="488">
        <f t="shared" si="45"/>
        <v>34587.853859016206</v>
      </c>
      <c r="I119" s="542">
        <f t="shared" si="46"/>
        <v>34587.853859016206</v>
      </c>
      <c r="J119" s="478">
        <f t="shared" si="27"/>
        <v>0</v>
      </c>
      <c r="K119" s="478"/>
      <c r="L119" s="487"/>
      <c r="M119" s="478">
        <f t="shared" si="31"/>
        <v>0</v>
      </c>
      <c r="N119" s="487"/>
      <c r="O119" s="478">
        <f t="shared" si="33"/>
        <v>0</v>
      </c>
      <c r="P119" s="478">
        <f t="shared" si="28"/>
        <v>0</v>
      </c>
    </row>
    <row r="120" spans="2:16" ht="12.5">
      <c r="B120" s="160" t="str">
        <f t="shared" si="29"/>
        <v/>
      </c>
      <c r="C120" s="472">
        <f>IF(D93="","-",+C119+1)</f>
        <v>2027</v>
      </c>
      <c r="D120" s="346">
        <f>IF(F119+SUM(E$99:E119)=D$92,F119,D$92-SUM(E$99:E119))</f>
        <v>216119</v>
      </c>
      <c r="E120" s="486">
        <f>IF(+J96&lt;F119,J96,D120)</f>
        <v>9457</v>
      </c>
      <c r="F120" s="485">
        <f t="shared" si="43"/>
        <v>206662</v>
      </c>
      <c r="G120" s="485">
        <f t="shared" si="44"/>
        <v>211390.5</v>
      </c>
      <c r="H120" s="488">
        <f t="shared" si="45"/>
        <v>33511.715415317653</v>
      </c>
      <c r="I120" s="542">
        <f t="shared" si="46"/>
        <v>33511.715415317653</v>
      </c>
      <c r="J120" s="478">
        <f t="shared" si="27"/>
        <v>0</v>
      </c>
      <c r="K120" s="478"/>
      <c r="L120" s="487"/>
      <c r="M120" s="478">
        <f t="shared" si="31"/>
        <v>0</v>
      </c>
      <c r="N120" s="487"/>
      <c r="O120" s="478">
        <f t="shared" si="33"/>
        <v>0</v>
      </c>
      <c r="P120" s="478">
        <f t="shared" si="28"/>
        <v>0</v>
      </c>
    </row>
    <row r="121" spans="2:16" ht="12.5">
      <c r="B121" s="160" t="str">
        <f t="shared" si="29"/>
        <v/>
      </c>
      <c r="C121" s="472">
        <f>IF(D93="","-",+C120+1)</f>
        <v>2028</v>
      </c>
      <c r="D121" s="346">
        <f>IF(F120+SUM(E$99:E120)=D$92,F120,D$92-SUM(E$99:E120))</f>
        <v>206662</v>
      </c>
      <c r="E121" s="486">
        <f>IF(+J96&lt;F120,J96,D121)</f>
        <v>9457</v>
      </c>
      <c r="F121" s="485">
        <f t="shared" si="43"/>
        <v>197205</v>
      </c>
      <c r="G121" s="485">
        <f t="shared" si="44"/>
        <v>201933.5</v>
      </c>
      <c r="H121" s="488">
        <f t="shared" si="45"/>
        <v>32435.576971619095</v>
      </c>
      <c r="I121" s="542">
        <f t="shared" si="46"/>
        <v>32435.576971619095</v>
      </c>
      <c r="J121" s="478">
        <f t="shared" si="27"/>
        <v>0</v>
      </c>
      <c r="K121" s="478"/>
      <c r="L121" s="487"/>
      <c r="M121" s="478">
        <f t="shared" si="31"/>
        <v>0</v>
      </c>
      <c r="N121" s="487"/>
      <c r="O121" s="478">
        <f t="shared" si="33"/>
        <v>0</v>
      </c>
      <c r="P121" s="478">
        <f t="shared" si="28"/>
        <v>0</v>
      </c>
    </row>
    <row r="122" spans="2:16" ht="12.5">
      <c r="B122" s="160" t="str">
        <f t="shared" si="29"/>
        <v/>
      </c>
      <c r="C122" s="472">
        <f>IF(D93="","-",+C121+1)</f>
        <v>2029</v>
      </c>
      <c r="D122" s="346">
        <f>IF(F121+SUM(E$99:E121)=D$92,F121,D$92-SUM(E$99:E121))</f>
        <v>197205</v>
      </c>
      <c r="E122" s="486">
        <f>IF(+J96&lt;F121,J96,D122)</f>
        <v>9457</v>
      </c>
      <c r="F122" s="485">
        <f t="shared" si="43"/>
        <v>187748</v>
      </c>
      <c r="G122" s="485">
        <f t="shared" si="44"/>
        <v>192476.5</v>
      </c>
      <c r="H122" s="488">
        <f t="shared" si="45"/>
        <v>31359.438527920542</v>
      </c>
      <c r="I122" s="542">
        <f t="shared" si="46"/>
        <v>31359.438527920542</v>
      </c>
      <c r="J122" s="478">
        <f t="shared" si="27"/>
        <v>0</v>
      </c>
      <c r="K122" s="478"/>
      <c r="L122" s="487"/>
      <c r="M122" s="478">
        <f t="shared" si="31"/>
        <v>0</v>
      </c>
      <c r="N122" s="487"/>
      <c r="O122" s="478">
        <f t="shared" si="33"/>
        <v>0</v>
      </c>
      <c r="P122" s="478">
        <f t="shared" si="28"/>
        <v>0</v>
      </c>
    </row>
    <row r="123" spans="2:16" ht="12.5">
      <c r="B123" s="160" t="str">
        <f t="shared" si="29"/>
        <v/>
      </c>
      <c r="C123" s="472">
        <f>IF(D93="","-",+C122+1)</f>
        <v>2030</v>
      </c>
      <c r="D123" s="346">
        <f>IF(F122+SUM(E$99:E122)=D$92,F122,D$92-SUM(E$99:E122))</f>
        <v>187748</v>
      </c>
      <c r="E123" s="486">
        <f>IF(+J96&lt;F122,J96,D123)</f>
        <v>9457</v>
      </c>
      <c r="F123" s="485">
        <f t="shared" si="43"/>
        <v>178291</v>
      </c>
      <c r="G123" s="485">
        <f t="shared" si="44"/>
        <v>183019.5</v>
      </c>
      <c r="H123" s="488">
        <f t="shared" si="45"/>
        <v>30283.300084221992</v>
      </c>
      <c r="I123" s="542">
        <f t="shared" si="46"/>
        <v>30283.300084221992</v>
      </c>
      <c r="J123" s="478">
        <f t="shared" si="27"/>
        <v>0</v>
      </c>
      <c r="K123" s="478"/>
      <c r="L123" s="487"/>
      <c r="M123" s="478">
        <f t="shared" si="31"/>
        <v>0</v>
      </c>
      <c r="N123" s="487"/>
      <c r="O123" s="478">
        <f t="shared" si="33"/>
        <v>0</v>
      </c>
      <c r="P123" s="478">
        <f t="shared" si="28"/>
        <v>0</v>
      </c>
    </row>
    <row r="124" spans="2:16" ht="12.5">
      <c r="B124" s="160" t="str">
        <f t="shared" si="29"/>
        <v/>
      </c>
      <c r="C124" s="472">
        <f>IF(D93="","-",+C123+1)</f>
        <v>2031</v>
      </c>
      <c r="D124" s="346">
        <f>IF(F123+SUM(E$99:E123)=D$92,F123,D$92-SUM(E$99:E123))</f>
        <v>178291</v>
      </c>
      <c r="E124" s="486">
        <f>IF(+J96&lt;F123,J96,D124)</f>
        <v>9457</v>
      </c>
      <c r="F124" s="485">
        <f t="shared" si="43"/>
        <v>168834</v>
      </c>
      <c r="G124" s="485">
        <f t="shared" si="44"/>
        <v>173562.5</v>
      </c>
      <c r="H124" s="488">
        <f t="shared" si="45"/>
        <v>29207.161640523438</v>
      </c>
      <c r="I124" s="542">
        <f t="shared" si="46"/>
        <v>29207.161640523438</v>
      </c>
      <c r="J124" s="478">
        <f t="shared" si="27"/>
        <v>0</v>
      </c>
      <c r="K124" s="478"/>
      <c r="L124" s="487"/>
      <c r="M124" s="478">
        <f t="shared" si="31"/>
        <v>0</v>
      </c>
      <c r="N124" s="487"/>
      <c r="O124" s="478">
        <f t="shared" si="33"/>
        <v>0</v>
      </c>
      <c r="P124" s="478">
        <f t="shared" si="28"/>
        <v>0</v>
      </c>
    </row>
    <row r="125" spans="2:16" ht="12.5">
      <c r="B125" s="160" t="str">
        <f t="shared" si="29"/>
        <v/>
      </c>
      <c r="C125" s="472">
        <f>IF(D93="","-",+C124+1)</f>
        <v>2032</v>
      </c>
      <c r="D125" s="346">
        <f>IF(F124+SUM(E$99:E124)=D$92,F124,D$92-SUM(E$99:E124))</f>
        <v>168834</v>
      </c>
      <c r="E125" s="486">
        <f>IF(+J96&lt;F124,J96,D125)</f>
        <v>9457</v>
      </c>
      <c r="F125" s="485">
        <f t="shared" si="43"/>
        <v>159377</v>
      </c>
      <c r="G125" s="485">
        <f t="shared" si="44"/>
        <v>164105.5</v>
      </c>
      <c r="H125" s="488">
        <f t="shared" si="45"/>
        <v>28131.023196824885</v>
      </c>
      <c r="I125" s="542">
        <f t="shared" si="46"/>
        <v>28131.023196824885</v>
      </c>
      <c r="J125" s="478">
        <f t="shared" si="27"/>
        <v>0</v>
      </c>
      <c r="K125" s="478"/>
      <c r="L125" s="487"/>
      <c r="M125" s="478">
        <f t="shared" si="31"/>
        <v>0</v>
      </c>
      <c r="N125" s="487"/>
      <c r="O125" s="478">
        <f t="shared" si="33"/>
        <v>0</v>
      </c>
      <c r="P125" s="478">
        <f t="shared" si="28"/>
        <v>0</v>
      </c>
    </row>
    <row r="126" spans="2:16" ht="12.5">
      <c r="B126" s="160" t="str">
        <f t="shared" si="29"/>
        <v/>
      </c>
      <c r="C126" s="472">
        <f>IF(D93="","-",+C125+1)</f>
        <v>2033</v>
      </c>
      <c r="D126" s="346">
        <f>IF(F125+SUM(E$99:E125)=D$92,F125,D$92-SUM(E$99:E125))</f>
        <v>159377</v>
      </c>
      <c r="E126" s="486">
        <f>IF(+J96&lt;F125,J96,D126)</f>
        <v>9457</v>
      </c>
      <c r="F126" s="485">
        <f t="shared" si="43"/>
        <v>149920</v>
      </c>
      <c r="G126" s="485">
        <f t="shared" si="44"/>
        <v>154648.5</v>
      </c>
      <c r="H126" s="488">
        <f t="shared" si="45"/>
        <v>27054.884753126331</v>
      </c>
      <c r="I126" s="542">
        <f t="shared" si="46"/>
        <v>27054.884753126331</v>
      </c>
      <c r="J126" s="478">
        <f t="shared" si="27"/>
        <v>0</v>
      </c>
      <c r="K126" s="478"/>
      <c r="L126" s="487"/>
      <c r="M126" s="478">
        <f t="shared" si="31"/>
        <v>0</v>
      </c>
      <c r="N126" s="487"/>
      <c r="O126" s="478">
        <f t="shared" si="33"/>
        <v>0</v>
      </c>
      <c r="P126" s="478">
        <f t="shared" si="28"/>
        <v>0</v>
      </c>
    </row>
    <row r="127" spans="2:16" ht="12.5">
      <c r="B127" s="160" t="str">
        <f t="shared" si="29"/>
        <v/>
      </c>
      <c r="C127" s="472">
        <f>IF(D93="","-",+C126+1)</f>
        <v>2034</v>
      </c>
      <c r="D127" s="346">
        <f>IF(F126+SUM(E$99:E126)=D$92,F126,D$92-SUM(E$99:E126))</f>
        <v>149920</v>
      </c>
      <c r="E127" s="486">
        <f>IF(+J96&lt;F126,J96,D127)</f>
        <v>9457</v>
      </c>
      <c r="F127" s="485">
        <f t="shared" si="43"/>
        <v>140463</v>
      </c>
      <c r="G127" s="485">
        <f t="shared" si="44"/>
        <v>145191.5</v>
      </c>
      <c r="H127" s="488">
        <f t="shared" si="45"/>
        <v>25978.746309427777</v>
      </c>
      <c r="I127" s="542">
        <f t="shared" si="46"/>
        <v>25978.746309427777</v>
      </c>
      <c r="J127" s="478">
        <f t="shared" si="27"/>
        <v>0</v>
      </c>
      <c r="K127" s="478"/>
      <c r="L127" s="487"/>
      <c r="M127" s="478">
        <f t="shared" si="31"/>
        <v>0</v>
      </c>
      <c r="N127" s="487"/>
      <c r="O127" s="478">
        <f t="shared" si="33"/>
        <v>0</v>
      </c>
      <c r="P127" s="478">
        <f t="shared" si="28"/>
        <v>0</v>
      </c>
    </row>
    <row r="128" spans="2:16" ht="12.5">
      <c r="B128" s="160" t="str">
        <f t="shared" si="29"/>
        <v/>
      </c>
      <c r="C128" s="472">
        <f>IF(D93="","-",+C127+1)</f>
        <v>2035</v>
      </c>
      <c r="D128" s="346">
        <f>IF(F127+SUM(E$99:E127)=D$92,F127,D$92-SUM(E$99:E127))</f>
        <v>140463</v>
      </c>
      <c r="E128" s="486">
        <f>IF(+J96&lt;F127,J96,D128)</f>
        <v>9457</v>
      </c>
      <c r="F128" s="485">
        <f t="shared" si="43"/>
        <v>131006</v>
      </c>
      <c r="G128" s="485">
        <f t="shared" si="44"/>
        <v>135734.5</v>
      </c>
      <c r="H128" s="488">
        <f t="shared" si="45"/>
        <v>24902.607865729224</v>
      </c>
      <c r="I128" s="542">
        <f t="shared" si="46"/>
        <v>24902.607865729224</v>
      </c>
      <c r="J128" s="478">
        <f t="shared" si="27"/>
        <v>0</v>
      </c>
      <c r="K128" s="478"/>
      <c r="L128" s="487"/>
      <c r="M128" s="478">
        <f t="shared" si="31"/>
        <v>0</v>
      </c>
      <c r="N128" s="487"/>
      <c r="O128" s="478">
        <f t="shared" si="33"/>
        <v>0</v>
      </c>
      <c r="P128" s="478">
        <f t="shared" si="28"/>
        <v>0</v>
      </c>
    </row>
    <row r="129" spans="2:16" ht="12.5">
      <c r="B129" s="160" t="str">
        <f t="shared" si="29"/>
        <v/>
      </c>
      <c r="C129" s="472">
        <f>IF(D93="","-",+C128+1)</f>
        <v>2036</v>
      </c>
      <c r="D129" s="346">
        <f>IF(F128+SUM(E$99:E128)=D$92,F128,D$92-SUM(E$99:E128))</f>
        <v>131006</v>
      </c>
      <c r="E129" s="486">
        <f>IF(+J96&lt;F128,J96,D129)</f>
        <v>9457</v>
      </c>
      <c r="F129" s="485">
        <f t="shared" si="43"/>
        <v>121549</v>
      </c>
      <c r="G129" s="485">
        <f t="shared" si="44"/>
        <v>126277.5</v>
      </c>
      <c r="H129" s="488">
        <f t="shared" si="45"/>
        <v>23826.46942203067</v>
      </c>
      <c r="I129" s="542">
        <f t="shared" si="46"/>
        <v>23826.46942203067</v>
      </c>
      <c r="J129" s="478">
        <f t="shared" si="27"/>
        <v>0</v>
      </c>
      <c r="K129" s="478"/>
      <c r="L129" s="487"/>
      <c r="M129" s="478">
        <f t="shared" si="31"/>
        <v>0</v>
      </c>
      <c r="N129" s="487"/>
      <c r="O129" s="478">
        <f t="shared" si="33"/>
        <v>0</v>
      </c>
      <c r="P129" s="478">
        <f t="shared" si="28"/>
        <v>0</v>
      </c>
    </row>
    <row r="130" spans="2:16" ht="12.5">
      <c r="B130" s="160" t="str">
        <f t="shared" si="29"/>
        <v/>
      </c>
      <c r="C130" s="472">
        <f>IF(D93="","-",+C129+1)</f>
        <v>2037</v>
      </c>
      <c r="D130" s="346">
        <f>IF(F129+SUM(E$99:E129)=D$92,F129,D$92-SUM(E$99:E129))</f>
        <v>121549</v>
      </c>
      <c r="E130" s="486">
        <f>IF(+J96&lt;F129,J96,D130)</f>
        <v>9457</v>
      </c>
      <c r="F130" s="485">
        <f t="shared" si="43"/>
        <v>112092</v>
      </c>
      <c r="G130" s="485">
        <f t="shared" si="44"/>
        <v>116820.5</v>
      </c>
      <c r="H130" s="488">
        <f t="shared" si="45"/>
        <v>22750.330978332117</v>
      </c>
      <c r="I130" s="542">
        <f t="shared" si="46"/>
        <v>22750.330978332117</v>
      </c>
      <c r="J130" s="478">
        <f t="shared" si="27"/>
        <v>0</v>
      </c>
      <c r="K130" s="478"/>
      <c r="L130" s="487"/>
      <c r="M130" s="478">
        <f t="shared" si="31"/>
        <v>0</v>
      </c>
      <c r="N130" s="487"/>
      <c r="O130" s="478">
        <f t="shared" si="33"/>
        <v>0</v>
      </c>
      <c r="P130" s="478">
        <f t="shared" si="28"/>
        <v>0</v>
      </c>
    </row>
    <row r="131" spans="2:16" ht="12.5">
      <c r="B131" s="160" t="str">
        <f t="shared" si="29"/>
        <v/>
      </c>
      <c r="C131" s="472">
        <f>IF(D93="","-",+C130+1)</f>
        <v>2038</v>
      </c>
      <c r="D131" s="346">
        <f>IF(F130+SUM(E$99:E130)=D$92,F130,D$92-SUM(E$99:E130))</f>
        <v>112092</v>
      </c>
      <c r="E131" s="486">
        <f>IF(+J96&lt;F130,J96,D131)</f>
        <v>9457</v>
      </c>
      <c r="F131" s="485">
        <f t="shared" ref="F131:F154" si="47">+D131-E131</f>
        <v>102635</v>
      </c>
      <c r="G131" s="485">
        <f t="shared" ref="G131:G154" si="48">+(F131+D131)/2</f>
        <v>107363.5</v>
      </c>
      <c r="H131" s="488">
        <f t="shared" si="45"/>
        <v>21674.192534633563</v>
      </c>
      <c r="I131" s="542">
        <f t="shared" si="46"/>
        <v>21674.192534633563</v>
      </c>
      <c r="J131" s="478">
        <f t="shared" ref="J131:J154" si="49">+I131-H131</f>
        <v>0</v>
      </c>
      <c r="K131" s="478"/>
      <c r="L131" s="487"/>
      <c r="M131" s="478">
        <f t="shared" si="31"/>
        <v>0</v>
      </c>
      <c r="N131" s="487"/>
      <c r="O131" s="478">
        <f t="shared" si="33"/>
        <v>0</v>
      </c>
      <c r="P131" s="478">
        <f t="shared" ref="P131:P154" si="50">+O131-M131</f>
        <v>0</v>
      </c>
    </row>
    <row r="132" spans="2:16" ht="12.5">
      <c r="B132" s="160" t="str">
        <f t="shared" si="29"/>
        <v/>
      </c>
      <c r="C132" s="472">
        <f>IF(D93="","-",+C131+1)</f>
        <v>2039</v>
      </c>
      <c r="D132" s="346">
        <f>IF(F131+SUM(E$99:E131)=D$92,F131,D$92-SUM(E$99:E131))</f>
        <v>102635</v>
      </c>
      <c r="E132" s="486">
        <f>IF(+J96&lt;F131,J96,D132)</f>
        <v>9457</v>
      </c>
      <c r="F132" s="485">
        <f t="shared" si="47"/>
        <v>93178</v>
      </c>
      <c r="G132" s="485">
        <f t="shared" si="48"/>
        <v>97906.5</v>
      </c>
      <c r="H132" s="488">
        <f t="shared" si="45"/>
        <v>20598.054090935009</v>
      </c>
      <c r="I132" s="542">
        <f t="shared" si="46"/>
        <v>20598.054090935009</v>
      </c>
      <c r="J132" s="478">
        <f t="shared" si="49"/>
        <v>0</v>
      </c>
      <c r="K132" s="478"/>
      <c r="L132" s="487"/>
      <c r="M132" s="478">
        <f t="shared" si="31"/>
        <v>0</v>
      </c>
      <c r="N132" s="487"/>
      <c r="O132" s="478">
        <f t="shared" si="33"/>
        <v>0</v>
      </c>
      <c r="P132" s="478">
        <f t="shared" si="50"/>
        <v>0</v>
      </c>
    </row>
    <row r="133" spans="2:16" ht="12.5">
      <c r="B133" s="160" t="str">
        <f t="shared" si="29"/>
        <v/>
      </c>
      <c r="C133" s="472">
        <f>IF(D93="","-",+C132+1)</f>
        <v>2040</v>
      </c>
      <c r="D133" s="346">
        <f>IF(F132+SUM(E$99:E132)=D$92,F132,D$92-SUM(E$99:E132))</f>
        <v>93178</v>
      </c>
      <c r="E133" s="486">
        <f>IF(+J96&lt;F132,J96,D133)</f>
        <v>9457</v>
      </c>
      <c r="F133" s="485">
        <f t="shared" si="47"/>
        <v>83721</v>
      </c>
      <c r="G133" s="485">
        <f t="shared" si="48"/>
        <v>88449.5</v>
      </c>
      <c r="H133" s="488">
        <f t="shared" si="45"/>
        <v>19521.915647236456</v>
      </c>
      <c r="I133" s="542">
        <f t="shared" si="46"/>
        <v>19521.915647236456</v>
      </c>
      <c r="J133" s="478">
        <f t="shared" si="49"/>
        <v>0</v>
      </c>
      <c r="K133" s="478"/>
      <c r="L133" s="487"/>
      <c r="M133" s="478">
        <f t="shared" si="31"/>
        <v>0</v>
      </c>
      <c r="N133" s="487"/>
      <c r="O133" s="478">
        <f t="shared" si="33"/>
        <v>0</v>
      </c>
      <c r="P133" s="478">
        <f t="shared" si="50"/>
        <v>0</v>
      </c>
    </row>
    <row r="134" spans="2:16" ht="12.5">
      <c r="B134" s="160" t="str">
        <f t="shared" si="29"/>
        <v/>
      </c>
      <c r="C134" s="472">
        <f>IF(D93="","-",+C133+1)</f>
        <v>2041</v>
      </c>
      <c r="D134" s="346">
        <f>IF(F133+SUM(E$99:E133)=D$92,F133,D$92-SUM(E$99:E133))</f>
        <v>83721</v>
      </c>
      <c r="E134" s="486">
        <f>IF(+J96&lt;F133,J96,D134)</f>
        <v>9457</v>
      </c>
      <c r="F134" s="485">
        <f t="shared" si="47"/>
        <v>74264</v>
      </c>
      <c r="G134" s="485">
        <f t="shared" si="48"/>
        <v>78992.5</v>
      </c>
      <c r="H134" s="488">
        <f t="shared" si="45"/>
        <v>18445.777203537902</v>
      </c>
      <c r="I134" s="542">
        <f t="shared" si="46"/>
        <v>18445.777203537902</v>
      </c>
      <c r="J134" s="478">
        <f t="shared" si="49"/>
        <v>0</v>
      </c>
      <c r="K134" s="478"/>
      <c r="L134" s="487"/>
      <c r="M134" s="478">
        <f t="shared" ref="M134:M154" si="51">IF(L134&lt;&gt;0,+H134-L134,0)</f>
        <v>0</v>
      </c>
      <c r="N134" s="487"/>
      <c r="O134" s="478">
        <f t="shared" ref="O134:O154" si="52">IF(N134&lt;&gt;0,+I134-N134,0)</f>
        <v>0</v>
      </c>
      <c r="P134" s="478">
        <f t="shared" si="50"/>
        <v>0</v>
      </c>
    </row>
    <row r="135" spans="2:16" ht="12.5">
      <c r="B135" s="160" t="str">
        <f t="shared" si="29"/>
        <v/>
      </c>
      <c r="C135" s="472">
        <f>IF(D93="","-",+C134+1)</f>
        <v>2042</v>
      </c>
      <c r="D135" s="346">
        <f>IF(F134+SUM(E$99:E134)=D$92,F134,D$92-SUM(E$99:E134))</f>
        <v>74264</v>
      </c>
      <c r="E135" s="486">
        <f>IF(+J96&lt;F134,J96,D135)</f>
        <v>9457</v>
      </c>
      <c r="F135" s="485">
        <f t="shared" si="47"/>
        <v>64807</v>
      </c>
      <c r="G135" s="485">
        <f t="shared" si="48"/>
        <v>69535.5</v>
      </c>
      <c r="H135" s="488">
        <f t="shared" si="45"/>
        <v>17369.638759839352</v>
      </c>
      <c r="I135" s="542">
        <f t="shared" si="46"/>
        <v>17369.638759839352</v>
      </c>
      <c r="J135" s="478">
        <f t="shared" si="49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0"/>
        <v>0</v>
      </c>
    </row>
    <row r="136" spans="2:16" ht="12.5">
      <c r="B136" s="160" t="str">
        <f t="shared" si="29"/>
        <v/>
      </c>
      <c r="C136" s="472">
        <f>IF(D93="","-",+C135+1)</f>
        <v>2043</v>
      </c>
      <c r="D136" s="346">
        <f>IF(F135+SUM(E$99:E135)=D$92,F135,D$92-SUM(E$99:E135))</f>
        <v>64807</v>
      </c>
      <c r="E136" s="486">
        <f>IF(+J96&lt;F135,J96,D136)</f>
        <v>9457</v>
      </c>
      <c r="F136" s="485">
        <f t="shared" si="47"/>
        <v>55350</v>
      </c>
      <c r="G136" s="485">
        <f t="shared" si="48"/>
        <v>60078.5</v>
      </c>
      <c r="H136" s="488">
        <f t="shared" si="45"/>
        <v>16293.500316140799</v>
      </c>
      <c r="I136" s="542">
        <f t="shared" si="46"/>
        <v>16293.500316140799</v>
      </c>
      <c r="J136" s="478">
        <f t="shared" si="49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0"/>
        <v>0</v>
      </c>
    </row>
    <row r="137" spans="2:16" ht="12.5">
      <c r="B137" s="160" t="str">
        <f t="shared" si="29"/>
        <v/>
      </c>
      <c r="C137" s="472">
        <f>IF(D93="","-",+C136+1)</f>
        <v>2044</v>
      </c>
      <c r="D137" s="346">
        <f>IF(F136+SUM(E$99:E136)=D$92,F136,D$92-SUM(E$99:E136))</f>
        <v>55350</v>
      </c>
      <c r="E137" s="486">
        <f>IF(+J96&lt;F136,J96,D137)</f>
        <v>9457</v>
      </c>
      <c r="F137" s="485">
        <f t="shared" si="47"/>
        <v>45893</v>
      </c>
      <c r="G137" s="485">
        <f t="shared" si="48"/>
        <v>50621.5</v>
      </c>
      <c r="H137" s="488">
        <f t="shared" si="45"/>
        <v>15217.361872442245</v>
      </c>
      <c r="I137" s="542">
        <f t="shared" si="46"/>
        <v>15217.361872442245</v>
      </c>
      <c r="J137" s="478">
        <f t="shared" si="49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0"/>
        <v>0</v>
      </c>
    </row>
    <row r="138" spans="2:16" ht="12.5">
      <c r="B138" s="160" t="str">
        <f t="shared" si="29"/>
        <v/>
      </c>
      <c r="C138" s="472">
        <f>IF(D93="","-",+C137+1)</f>
        <v>2045</v>
      </c>
      <c r="D138" s="346">
        <f>IF(F137+SUM(E$99:E137)=D$92,F137,D$92-SUM(E$99:E137))</f>
        <v>45893</v>
      </c>
      <c r="E138" s="486">
        <f>IF(+J96&lt;F137,J96,D138)</f>
        <v>9457</v>
      </c>
      <c r="F138" s="485">
        <f t="shared" si="47"/>
        <v>36436</v>
      </c>
      <c r="G138" s="485">
        <f t="shared" si="48"/>
        <v>41164.5</v>
      </c>
      <c r="H138" s="488">
        <f t="shared" si="45"/>
        <v>14141.223428743691</v>
      </c>
      <c r="I138" s="542">
        <f t="shared" si="46"/>
        <v>14141.223428743691</v>
      </c>
      <c r="J138" s="478">
        <f t="shared" si="49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0"/>
        <v>0</v>
      </c>
    </row>
    <row r="139" spans="2:16" ht="12.5">
      <c r="B139" s="160" t="str">
        <f t="shared" si="29"/>
        <v/>
      </c>
      <c r="C139" s="472">
        <f>IF(D93="","-",+C138+1)</f>
        <v>2046</v>
      </c>
      <c r="D139" s="346">
        <f>IF(F138+SUM(E$99:E138)=D$92,F138,D$92-SUM(E$99:E138))</f>
        <v>36436</v>
      </c>
      <c r="E139" s="486">
        <f>IF(+J96&lt;F138,J96,D139)</f>
        <v>9457</v>
      </c>
      <c r="F139" s="485">
        <f t="shared" si="47"/>
        <v>26979</v>
      </c>
      <c r="G139" s="485">
        <f t="shared" si="48"/>
        <v>31707.5</v>
      </c>
      <c r="H139" s="488">
        <f t="shared" si="45"/>
        <v>13065.084985045138</v>
      </c>
      <c r="I139" s="542">
        <f t="shared" si="46"/>
        <v>13065.084985045138</v>
      </c>
      <c r="J139" s="478">
        <f t="shared" si="49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0"/>
        <v>0</v>
      </c>
    </row>
    <row r="140" spans="2:16" ht="12.5">
      <c r="B140" s="160" t="str">
        <f t="shared" si="29"/>
        <v/>
      </c>
      <c r="C140" s="472">
        <f>IF(D93="","-",+C139+1)</f>
        <v>2047</v>
      </c>
      <c r="D140" s="346">
        <f>IF(F139+SUM(E$99:E139)=D$92,F139,D$92-SUM(E$99:E139))</f>
        <v>26979</v>
      </c>
      <c r="E140" s="486">
        <f>IF(+J96&lt;F139,J96,D140)</f>
        <v>9457</v>
      </c>
      <c r="F140" s="485">
        <f t="shared" si="47"/>
        <v>17522</v>
      </c>
      <c r="G140" s="485">
        <f t="shared" si="48"/>
        <v>22250.5</v>
      </c>
      <c r="H140" s="488">
        <f t="shared" si="45"/>
        <v>11988.946541346586</v>
      </c>
      <c r="I140" s="542">
        <f t="shared" si="46"/>
        <v>11988.946541346586</v>
      </c>
      <c r="J140" s="478">
        <f t="shared" si="49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0"/>
        <v>0</v>
      </c>
    </row>
    <row r="141" spans="2:16" ht="12.5">
      <c r="B141" s="160" t="str">
        <f t="shared" si="29"/>
        <v/>
      </c>
      <c r="C141" s="472">
        <f>IF(D93="","-",+C140+1)</f>
        <v>2048</v>
      </c>
      <c r="D141" s="346">
        <f>IF(F140+SUM(E$99:E140)=D$92,F140,D$92-SUM(E$99:E140))</f>
        <v>17522</v>
      </c>
      <c r="E141" s="486">
        <f>IF(+J96&lt;F140,J96,D141)</f>
        <v>9457</v>
      </c>
      <c r="F141" s="485">
        <f t="shared" si="47"/>
        <v>8065</v>
      </c>
      <c r="G141" s="485">
        <f t="shared" si="48"/>
        <v>12793.5</v>
      </c>
      <c r="H141" s="488">
        <f t="shared" si="45"/>
        <v>10912.808097648032</v>
      </c>
      <c r="I141" s="542">
        <f t="shared" si="46"/>
        <v>10912.808097648032</v>
      </c>
      <c r="J141" s="478">
        <f t="shared" si="49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0"/>
        <v>0</v>
      </c>
    </row>
    <row r="142" spans="2:16" ht="12.5">
      <c r="B142" s="160" t="str">
        <f t="shared" si="29"/>
        <v/>
      </c>
      <c r="C142" s="472">
        <f>IF(D93="","-",+C141+1)</f>
        <v>2049</v>
      </c>
      <c r="D142" s="346">
        <f>IF(F141+SUM(E$99:E141)=D$92,F141,D$92-SUM(E$99:E141))</f>
        <v>8065</v>
      </c>
      <c r="E142" s="486">
        <f>IF(+J96&lt;F141,J96,D142)</f>
        <v>8065</v>
      </c>
      <c r="F142" s="485">
        <f t="shared" si="47"/>
        <v>0</v>
      </c>
      <c r="G142" s="485">
        <f t="shared" si="48"/>
        <v>4032.5</v>
      </c>
      <c r="H142" s="488">
        <f t="shared" si="45"/>
        <v>8523.8694378993787</v>
      </c>
      <c r="I142" s="542">
        <f t="shared" si="46"/>
        <v>8523.8694378993787</v>
      </c>
      <c r="J142" s="478">
        <f t="shared" si="49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0"/>
        <v>0</v>
      </c>
    </row>
    <row r="143" spans="2:16" ht="12.5">
      <c r="B143" s="160" t="str">
        <f t="shared" si="29"/>
        <v/>
      </c>
      <c r="C143" s="472">
        <f>IF(D93="","-",+C142+1)</f>
        <v>2050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7"/>
        <v>0</v>
      </c>
      <c r="G143" s="485">
        <f t="shared" si="48"/>
        <v>0</v>
      </c>
      <c r="H143" s="488">
        <f t="shared" si="45"/>
        <v>0</v>
      </c>
      <c r="I143" s="542">
        <f t="shared" si="46"/>
        <v>0</v>
      </c>
      <c r="J143" s="478">
        <f t="shared" si="49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0"/>
        <v>0</v>
      </c>
    </row>
    <row r="144" spans="2:16" ht="12.5">
      <c r="B144" s="160" t="str">
        <f t="shared" si="29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7"/>
        <v>0</v>
      </c>
      <c r="G144" s="485">
        <f t="shared" si="48"/>
        <v>0</v>
      </c>
      <c r="H144" s="488">
        <f t="shared" si="45"/>
        <v>0</v>
      </c>
      <c r="I144" s="542">
        <f t="shared" si="46"/>
        <v>0</v>
      </c>
      <c r="J144" s="478">
        <f t="shared" si="49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0"/>
        <v>0</v>
      </c>
    </row>
    <row r="145" spans="2:16" ht="12.5">
      <c r="B145" s="160" t="str">
        <f t="shared" si="29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7"/>
        <v>0</v>
      </c>
      <c r="G145" s="485">
        <f t="shared" si="48"/>
        <v>0</v>
      </c>
      <c r="H145" s="488">
        <f t="shared" si="45"/>
        <v>0</v>
      </c>
      <c r="I145" s="542">
        <f t="shared" si="46"/>
        <v>0</v>
      </c>
      <c r="J145" s="478">
        <f t="shared" si="49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0"/>
        <v>0</v>
      </c>
    </row>
    <row r="146" spans="2:16" ht="12.5">
      <c r="B146" s="160" t="str">
        <f t="shared" si="29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7"/>
        <v>0</v>
      </c>
      <c r="G146" s="485">
        <f t="shared" si="48"/>
        <v>0</v>
      </c>
      <c r="H146" s="488">
        <f t="shared" si="45"/>
        <v>0</v>
      </c>
      <c r="I146" s="542">
        <f t="shared" si="46"/>
        <v>0</v>
      </c>
      <c r="J146" s="478">
        <f t="shared" si="49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0"/>
        <v>0</v>
      </c>
    </row>
    <row r="147" spans="2:16" ht="12.5">
      <c r="B147" s="160" t="str">
        <f t="shared" si="29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7"/>
        <v>0</v>
      </c>
      <c r="G147" s="485">
        <f t="shared" si="48"/>
        <v>0</v>
      </c>
      <c r="H147" s="488">
        <f t="shared" si="45"/>
        <v>0</v>
      </c>
      <c r="I147" s="542">
        <f t="shared" si="46"/>
        <v>0</v>
      </c>
      <c r="J147" s="478">
        <f t="shared" si="49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0"/>
        <v>0</v>
      </c>
    </row>
    <row r="148" spans="2:16" ht="12.5">
      <c r="B148" s="160" t="str">
        <f t="shared" si="29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7"/>
        <v>0</v>
      </c>
      <c r="G148" s="485">
        <f t="shared" si="48"/>
        <v>0</v>
      </c>
      <c r="H148" s="488">
        <f t="shared" si="45"/>
        <v>0</v>
      </c>
      <c r="I148" s="542">
        <f t="shared" si="46"/>
        <v>0</v>
      </c>
      <c r="J148" s="478">
        <f t="shared" si="49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0"/>
        <v>0</v>
      </c>
    </row>
    <row r="149" spans="2:16" ht="12.5">
      <c r="B149" s="160" t="str">
        <f t="shared" si="29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7"/>
        <v>0</v>
      </c>
      <c r="G149" s="485">
        <f t="shared" si="48"/>
        <v>0</v>
      </c>
      <c r="H149" s="488">
        <f t="shared" si="45"/>
        <v>0</v>
      </c>
      <c r="I149" s="542">
        <f t="shared" si="46"/>
        <v>0</v>
      </c>
      <c r="J149" s="478">
        <f t="shared" si="49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0"/>
        <v>0</v>
      </c>
    </row>
    <row r="150" spans="2:16" ht="12.5">
      <c r="B150" s="160" t="str">
        <f t="shared" si="29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7"/>
        <v>0</v>
      </c>
      <c r="G150" s="485">
        <f t="shared" si="48"/>
        <v>0</v>
      </c>
      <c r="H150" s="488">
        <f t="shared" si="45"/>
        <v>0</v>
      </c>
      <c r="I150" s="542">
        <f t="shared" si="46"/>
        <v>0</v>
      </c>
      <c r="J150" s="478">
        <f t="shared" si="49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0"/>
        <v>0</v>
      </c>
    </row>
    <row r="151" spans="2:16" ht="12.5">
      <c r="B151" s="160" t="str">
        <f t="shared" si="29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7"/>
        <v>0</v>
      </c>
      <c r="G151" s="485">
        <f t="shared" si="48"/>
        <v>0</v>
      </c>
      <c r="H151" s="488">
        <f t="shared" si="45"/>
        <v>0</v>
      </c>
      <c r="I151" s="542">
        <f t="shared" si="46"/>
        <v>0</v>
      </c>
      <c r="J151" s="478">
        <f t="shared" si="49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0"/>
        <v>0</v>
      </c>
    </row>
    <row r="152" spans="2:16" ht="12.5">
      <c r="B152" s="160" t="str">
        <f t="shared" si="29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7"/>
        <v>0</v>
      </c>
      <c r="G152" s="485">
        <f t="shared" si="48"/>
        <v>0</v>
      </c>
      <c r="H152" s="488">
        <f t="shared" si="45"/>
        <v>0</v>
      </c>
      <c r="I152" s="542">
        <f t="shared" si="46"/>
        <v>0</v>
      </c>
      <c r="J152" s="478">
        <f t="shared" si="49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0"/>
        <v>0</v>
      </c>
    </row>
    <row r="153" spans="2:16" ht="12.5">
      <c r="B153" s="160" t="str">
        <f t="shared" si="29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7"/>
        <v>0</v>
      </c>
      <c r="G153" s="485">
        <f t="shared" si="48"/>
        <v>0</v>
      </c>
      <c r="H153" s="488">
        <f t="shared" si="45"/>
        <v>0</v>
      </c>
      <c r="I153" s="542">
        <f t="shared" si="46"/>
        <v>0</v>
      </c>
      <c r="J153" s="478">
        <f t="shared" si="49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0"/>
        <v>0</v>
      </c>
    </row>
    <row r="154" spans="2:16" ht="13" thickBot="1">
      <c r="B154" s="160" t="str">
        <f t="shared" si="29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7"/>
        <v>0</v>
      </c>
      <c r="G154" s="490">
        <f t="shared" si="48"/>
        <v>0</v>
      </c>
      <c r="H154" s="492">
        <f t="shared" si="45"/>
        <v>0</v>
      </c>
      <c r="I154" s="545">
        <f t="shared" si="46"/>
        <v>0</v>
      </c>
      <c r="J154" s="495">
        <f t="shared" si="49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0"/>
        <v>0</v>
      </c>
    </row>
    <row r="155" spans="2:16" ht="12.5">
      <c r="C155" s="346" t="s">
        <v>77</v>
      </c>
      <c r="D155" s="347"/>
      <c r="E155" s="347">
        <f>SUM(E99:E154)</f>
        <v>387742</v>
      </c>
      <c r="F155" s="347"/>
      <c r="G155" s="347"/>
      <c r="H155" s="347">
        <f>SUM(H99:H154)</f>
        <v>1468748.9158392521</v>
      </c>
      <c r="I155" s="347">
        <f>SUM(I99:I154)</f>
        <v>1468748.9158392521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P162"/>
  <sheetViews>
    <sheetView view="pageBreakPreview" zoomScale="75" zoomScaleNormal="100" workbookViewId="0"/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6 of 31</v>
      </c>
    </row>
    <row r="2" spans="1:16" ht="17.5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.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160484.23733816287</v>
      </c>
      <c r="P5" s="232"/>
    </row>
    <row r="6" spans="1:16" ht="15.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160484.23733816287</v>
      </c>
      <c r="O6" s="232"/>
      <c r="P6" s="232"/>
    </row>
    <row r="7" spans="1:16" ht="13.5" thickBot="1">
      <c r="C7" s="431" t="s">
        <v>46</v>
      </c>
      <c r="D7" s="564" t="s">
        <v>84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85</v>
      </c>
      <c r="E9" s="577" t="s">
        <v>349</v>
      </c>
      <c r="F9" s="442"/>
      <c r="G9" s="442"/>
      <c r="H9" s="442"/>
      <c r="I9" s="443"/>
      <c r="J9" s="444"/>
      <c r="O9" s="445"/>
      <c r="P9" s="242"/>
    </row>
    <row r="10" spans="1:16" ht="13">
      <c r="C10" s="446" t="s">
        <v>226</v>
      </c>
      <c r="D10" s="447">
        <v>1520502</v>
      </c>
      <c r="E10" s="324" t="s">
        <v>51</v>
      </c>
      <c r="F10" s="445"/>
      <c r="G10" s="448"/>
      <c r="H10" s="448"/>
      <c r="I10" s="449">
        <f>+'PSO.WS.F.BPU.ATRR.Projected'!L19</f>
        <v>2023</v>
      </c>
      <c r="J10" s="444"/>
      <c r="K10" s="347" t="s">
        <v>52</v>
      </c>
      <c r="O10" s="242"/>
      <c r="P10" s="242"/>
    </row>
    <row r="11" spans="1:16" ht="12.5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f>IF(G5="",0,'PSO.WS.F.BPU.ATRR.Projected'!F$13)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 ht="12.5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'PSO.WS.F.BPU.ATRR.Projected'!$F$81</f>
        <v>0.11935895065679607</v>
      </c>
      <c r="J12" s="396"/>
      <c r="K12" s="148" t="s">
        <v>57</v>
      </c>
      <c r="O12" s="242"/>
      <c r="P12" s="242"/>
    </row>
    <row r="13" spans="1:16" ht="12.5">
      <c r="C13" s="450" t="s">
        <v>58</v>
      </c>
      <c r="D13" s="452">
        <f>+'PSO.WS.F.BPU.ATRR.Projected'!F$93</f>
        <v>39</v>
      </c>
      <c r="E13" s="450" t="s">
        <v>59</v>
      </c>
      <c r="F13" s="448"/>
      <c r="G13" s="195"/>
      <c r="H13" s="195"/>
      <c r="I13" s="454">
        <f>IF(G5="",I12,'PSO.WS.F.BPU.ATRR.Projected'!$F$80)</f>
        <v>0.11935895065679607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38987.230769230766</v>
      </c>
      <c r="J14" s="347"/>
      <c r="K14" s="347"/>
      <c r="L14" s="347"/>
      <c r="M14" s="347"/>
      <c r="N14" s="347"/>
      <c r="O14" s="242"/>
      <c r="P14" s="242"/>
    </row>
    <row r="15" spans="1:16" ht="39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 ht="12.5">
      <c r="B17" s="160"/>
      <c r="C17" s="472">
        <f>IF(D11= "","-",D11)</f>
        <v>2008</v>
      </c>
      <c r="D17" s="473">
        <v>1520473</v>
      </c>
      <c r="E17" s="474">
        <v>19125</v>
      </c>
      <c r="F17" s="473">
        <v>1501348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 ht="12.5">
      <c r="B18" s="160" t="str">
        <f>IF(D18=F17,"","IU")</f>
        <v/>
      </c>
      <c r="C18" s="472">
        <f>IF(D11="","-",+C17+1)</f>
        <v>2009</v>
      </c>
      <c r="D18" s="479">
        <v>1501348</v>
      </c>
      <c r="E18" s="480">
        <v>28688</v>
      </c>
      <c r="F18" s="479">
        <v>1472660</v>
      </c>
      <c r="G18" s="480">
        <v>254309</v>
      </c>
      <c r="H18" s="481">
        <v>254309</v>
      </c>
      <c r="I18" s="475">
        <f t="shared" si="0"/>
        <v>0</v>
      </c>
      <c r="J18" s="475"/>
      <c r="K18" s="476">
        <v>254309</v>
      </c>
      <c r="L18" s="478">
        <f t="shared" si="1"/>
        <v>0</v>
      </c>
      <c r="M18" s="476">
        <v>254309</v>
      </c>
      <c r="N18" s="478">
        <f t="shared" si="2"/>
        <v>0</v>
      </c>
      <c r="O18" s="478">
        <f t="shared" si="3"/>
        <v>0</v>
      </c>
      <c r="P18" s="242"/>
    </row>
    <row r="19" spans="2:16" ht="12.5">
      <c r="B19" s="160" t="str">
        <f>IF(D19=F18,"","IU")</f>
        <v>IU</v>
      </c>
      <c r="C19" s="472">
        <f>IF(D11="","-",+C18+1)</f>
        <v>2010</v>
      </c>
      <c r="D19" s="479">
        <v>1472689</v>
      </c>
      <c r="E19" s="480">
        <v>27151.821428571428</v>
      </c>
      <c r="F19" s="479">
        <v>1445537.1785714286</v>
      </c>
      <c r="G19" s="480">
        <v>235737.79751815079</v>
      </c>
      <c r="H19" s="481">
        <v>235737.79751815079</v>
      </c>
      <c r="I19" s="475">
        <f t="shared" si="0"/>
        <v>0</v>
      </c>
      <c r="J19" s="475"/>
      <c r="K19" s="540">
        <f t="shared" ref="K19:K24" si="4">G19</f>
        <v>235737.79751815079</v>
      </c>
      <c r="L19" s="541">
        <f t="shared" si="1"/>
        <v>0</v>
      </c>
      <c r="M19" s="540">
        <f t="shared" ref="M19:M24" si="5">H19</f>
        <v>235737.79751815079</v>
      </c>
      <c r="N19" s="478">
        <f t="shared" si="2"/>
        <v>0</v>
      </c>
      <c r="O19" s="478">
        <f t="shared" si="3"/>
        <v>0</v>
      </c>
      <c r="P19" s="242"/>
    </row>
    <row r="20" spans="2:16" ht="12.5">
      <c r="B20" s="160" t="str">
        <f t="shared" ref="B20:B72" si="6">IF(D20=F19,"","IU")</f>
        <v/>
      </c>
      <c r="C20" s="472">
        <f>IF(D11="","-",+C19+1)</f>
        <v>2011</v>
      </c>
      <c r="D20" s="479">
        <v>1445537.1785714286</v>
      </c>
      <c r="E20" s="480">
        <v>29813.764705882353</v>
      </c>
      <c r="F20" s="479">
        <v>1415723.4138655462</v>
      </c>
      <c r="G20" s="480">
        <v>251435.83921239444</v>
      </c>
      <c r="H20" s="481">
        <v>251435.83921239444</v>
      </c>
      <c r="I20" s="475">
        <f t="shared" si="0"/>
        <v>0</v>
      </c>
      <c r="J20" s="475"/>
      <c r="K20" s="476">
        <f t="shared" si="4"/>
        <v>251435.83921239444</v>
      </c>
      <c r="L20" s="550">
        <f t="shared" si="1"/>
        <v>0</v>
      </c>
      <c r="M20" s="476">
        <f t="shared" si="5"/>
        <v>251435.83921239444</v>
      </c>
      <c r="N20" s="478">
        <f t="shared" si="2"/>
        <v>0</v>
      </c>
      <c r="O20" s="478">
        <f t="shared" si="3"/>
        <v>0</v>
      </c>
      <c r="P20" s="242"/>
    </row>
    <row r="21" spans="2:16" ht="12.5">
      <c r="B21" s="160" t="str">
        <f t="shared" si="6"/>
        <v/>
      </c>
      <c r="C21" s="472">
        <f>IF(D11="","-",+C20+1)</f>
        <v>2012</v>
      </c>
      <c r="D21" s="479">
        <v>1415723.4138655462</v>
      </c>
      <c r="E21" s="480">
        <v>29240.423076923078</v>
      </c>
      <c r="F21" s="479">
        <v>1386482.9907886232</v>
      </c>
      <c r="G21" s="480">
        <v>222248.1918516063</v>
      </c>
      <c r="H21" s="481">
        <v>222248.1918516063</v>
      </c>
      <c r="I21" s="475">
        <f t="shared" si="0"/>
        <v>0</v>
      </c>
      <c r="J21" s="475"/>
      <c r="K21" s="476">
        <f t="shared" si="4"/>
        <v>222248.1918516063</v>
      </c>
      <c r="L21" s="550">
        <f t="shared" si="1"/>
        <v>0</v>
      </c>
      <c r="M21" s="476">
        <f t="shared" si="5"/>
        <v>222248.1918516063</v>
      </c>
      <c r="N21" s="478">
        <f t="shared" si="2"/>
        <v>0</v>
      </c>
      <c r="O21" s="478">
        <f t="shared" si="3"/>
        <v>0</v>
      </c>
      <c r="P21" s="242"/>
    </row>
    <row r="22" spans="2:16" ht="12.5">
      <c r="B22" s="160" t="str">
        <f t="shared" si="6"/>
        <v/>
      </c>
      <c r="C22" s="472">
        <f>IF(D11="","-",+C21+1)</f>
        <v>2013</v>
      </c>
      <c r="D22" s="479">
        <v>1386482.9907886232</v>
      </c>
      <c r="E22" s="480">
        <v>29240.423076923078</v>
      </c>
      <c r="F22" s="479">
        <v>1357242.5677117002</v>
      </c>
      <c r="G22" s="480">
        <v>223063.83719618269</v>
      </c>
      <c r="H22" s="481">
        <v>223063.83719618269</v>
      </c>
      <c r="I22" s="475">
        <v>0</v>
      </c>
      <c r="J22" s="475"/>
      <c r="K22" s="476">
        <f t="shared" si="4"/>
        <v>223063.83719618269</v>
      </c>
      <c r="L22" s="550">
        <f t="shared" ref="L22:L27" si="7">IF(K22&lt;&gt;0,+G22-K22,0)</f>
        <v>0</v>
      </c>
      <c r="M22" s="476">
        <f t="shared" si="5"/>
        <v>223063.83719618269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 ht="12.5">
      <c r="B23" s="160" t="str">
        <f t="shared" si="6"/>
        <v/>
      </c>
      <c r="C23" s="472">
        <f>IF(D11="","-",+C22+1)</f>
        <v>2014</v>
      </c>
      <c r="D23" s="479">
        <v>1357242.5677117002</v>
      </c>
      <c r="E23" s="480">
        <v>29240.423076923078</v>
      </c>
      <c r="F23" s="479">
        <v>1328002.1446347772</v>
      </c>
      <c r="G23" s="480">
        <v>212051.56179808528</v>
      </c>
      <c r="H23" s="481">
        <v>212051.56179808528</v>
      </c>
      <c r="I23" s="475">
        <v>0</v>
      </c>
      <c r="J23" s="475"/>
      <c r="K23" s="476">
        <f t="shared" si="4"/>
        <v>212051.56179808528</v>
      </c>
      <c r="L23" s="550">
        <f t="shared" si="7"/>
        <v>0</v>
      </c>
      <c r="M23" s="476">
        <f t="shared" si="5"/>
        <v>212051.56179808528</v>
      </c>
      <c r="N23" s="478">
        <f t="shared" si="8"/>
        <v>0</v>
      </c>
      <c r="O23" s="478">
        <f t="shared" si="9"/>
        <v>0</v>
      </c>
      <c r="P23" s="242"/>
    </row>
    <row r="24" spans="2:16" ht="12.5">
      <c r="B24" s="160" t="str">
        <f t="shared" si="6"/>
        <v/>
      </c>
      <c r="C24" s="472">
        <f>IF(D11="","-",+C23+1)</f>
        <v>2015</v>
      </c>
      <c r="D24" s="479">
        <v>1328002.1446347772</v>
      </c>
      <c r="E24" s="480">
        <v>29240.423076923078</v>
      </c>
      <c r="F24" s="479">
        <v>1298761.7215578542</v>
      </c>
      <c r="G24" s="480">
        <v>208302.85337289202</v>
      </c>
      <c r="H24" s="481">
        <v>208302.85337289202</v>
      </c>
      <c r="I24" s="475">
        <v>0</v>
      </c>
      <c r="J24" s="475"/>
      <c r="K24" s="476">
        <f t="shared" si="4"/>
        <v>208302.85337289202</v>
      </c>
      <c r="L24" s="550">
        <f t="shared" si="7"/>
        <v>0</v>
      </c>
      <c r="M24" s="476">
        <f t="shared" si="5"/>
        <v>208302.85337289202</v>
      </c>
      <c r="N24" s="478">
        <f t="shared" si="8"/>
        <v>0</v>
      </c>
      <c r="O24" s="478">
        <f t="shared" si="9"/>
        <v>0</v>
      </c>
      <c r="P24" s="242"/>
    </row>
    <row r="25" spans="2:16" ht="12.5">
      <c r="B25" s="160" t="str">
        <f t="shared" si="6"/>
        <v/>
      </c>
      <c r="C25" s="472">
        <f>IF(D11="","-",+C24+1)</f>
        <v>2016</v>
      </c>
      <c r="D25" s="479">
        <v>1298761.7215578542</v>
      </c>
      <c r="E25" s="480">
        <v>29240.423076923078</v>
      </c>
      <c r="F25" s="479">
        <v>1269521.2984809312</v>
      </c>
      <c r="G25" s="480">
        <v>195750.37197477801</v>
      </c>
      <c r="H25" s="481">
        <v>195750.37197477801</v>
      </c>
      <c r="I25" s="475">
        <f t="shared" si="0"/>
        <v>0</v>
      </c>
      <c r="J25" s="475"/>
      <c r="K25" s="476">
        <f t="shared" ref="K25:K30" si="10">G25</f>
        <v>195750.37197477801</v>
      </c>
      <c r="L25" s="550">
        <f t="shared" si="7"/>
        <v>0</v>
      </c>
      <c r="M25" s="476">
        <f t="shared" ref="M25:M30" si="11">H25</f>
        <v>195750.37197477801</v>
      </c>
      <c r="N25" s="478">
        <f t="shared" si="8"/>
        <v>0</v>
      </c>
      <c r="O25" s="478">
        <f t="shared" si="9"/>
        <v>0</v>
      </c>
      <c r="P25" s="242"/>
    </row>
    <row r="26" spans="2:16" ht="12.5">
      <c r="B26" s="160" t="str">
        <f t="shared" si="6"/>
        <v/>
      </c>
      <c r="C26" s="472">
        <f>IF(D11="","-",+C25+1)</f>
        <v>2017</v>
      </c>
      <c r="D26" s="479">
        <v>1269521.2984809312</v>
      </c>
      <c r="E26" s="480">
        <v>33054.391304347824</v>
      </c>
      <c r="F26" s="479">
        <v>1236466.9071765833</v>
      </c>
      <c r="G26" s="480">
        <v>190407.97943741584</v>
      </c>
      <c r="H26" s="481">
        <v>190407.97943741584</v>
      </c>
      <c r="I26" s="475">
        <f t="shared" si="0"/>
        <v>0</v>
      </c>
      <c r="J26" s="475"/>
      <c r="K26" s="476">
        <f t="shared" si="10"/>
        <v>190407.97943741584</v>
      </c>
      <c r="L26" s="550">
        <f t="shared" si="7"/>
        <v>0</v>
      </c>
      <c r="M26" s="476">
        <f t="shared" si="11"/>
        <v>190407.97943741584</v>
      </c>
      <c r="N26" s="478">
        <f t="shared" si="8"/>
        <v>0</v>
      </c>
      <c r="O26" s="478">
        <f t="shared" si="9"/>
        <v>0</v>
      </c>
      <c r="P26" s="242"/>
    </row>
    <row r="27" spans="2:16" ht="12.5">
      <c r="B27" s="160" t="str">
        <f t="shared" si="6"/>
        <v/>
      </c>
      <c r="C27" s="472">
        <f>IF(D11="","-",+C26+1)</f>
        <v>2018</v>
      </c>
      <c r="D27" s="479">
        <v>1236466.9071765833</v>
      </c>
      <c r="E27" s="480">
        <v>33788.933333333334</v>
      </c>
      <c r="F27" s="479">
        <v>1202677.97384325</v>
      </c>
      <c r="G27" s="480">
        <v>179843.63692519162</v>
      </c>
      <c r="H27" s="481">
        <v>179843.63692519162</v>
      </c>
      <c r="I27" s="475">
        <f t="shared" si="0"/>
        <v>0</v>
      </c>
      <c r="J27" s="475"/>
      <c r="K27" s="476">
        <f t="shared" si="10"/>
        <v>179843.63692519162</v>
      </c>
      <c r="L27" s="550">
        <f t="shared" si="7"/>
        <v>0</v>
      </c>
      <c r="M27" s="476">
        <f t="shared" si="11"/>
        <v>179843.63692519162</v>
      </c>
      <c r="N27" s="478">
        <f t="shared" si="8"/>
        <v>0</v>
      </c>
      <c r="O27" s="478">
        <f t="shared" si="9"/>
        <v>0</v>
      </c>
      <c r="P27" s="242"/>
    </row>
    <row r="28" spans="2:16" ht="12.5">
      <c r="B28" s="160" t="str">
        <f t="shared" si="6"/>
        <v/>
      </c>
      <c r="C28" s="472">
        <f>IF(D11="","-",+C27+1)</f>
        <v>2019</v>
      </c>
      <c r="D28" s="479">
        <v>1202677.97384325</v>
      </c>
      <c r="E28" s="480">
        <v>38012.550000000003</v>
      </c>
      <c r="F28" s="479">
        <v>1164665.4238432499</v>
      </c>
      <c r="G28" s="480">
        <v>170177.34445508715</v>
      </c>
      <c r="H28" s="481">
        <v>170177.34445508715</v>
      </c>
      <c r="I28" s="475">
        <f t="shared" si="0"/>
        <v>0</v>
      </c>
      <c r="J28" s="475"/>
      <c r="K28" s="476">
        <f t="shared" si="10"/>
        <v>170177.34445508715</v>
      </c>
      <c r="L28" s="550">
        <f t="shared" ref="L28" si="12">IF(K28&lt;&gt;0,+G28-K28,0)</f>
        <v>0</v>
      </c>
      <c r="M28" s="476">
        <f t="shared" si="11"/>
        <v>170177.34445508715</v>
      </c>
      <c r="N28" s="478">
        <f t="shared" ref="N28" si="13">IF(M28&lt;&gt;0,+H28-M28,0)</f>
        <v>0</v>
      </c>
      <c r="O28" s="478">
        <f t="shared" ref="O28" si="14">+N28-L28</f>
        <v>0</v>
      </c>
      <c r="P28" s="242"/>
    </row>
    <row r="29" spans="2:16" ht="12.5">
      <c r="B29" s="160" t="str">
        <f t="shared" si="6"/>
        <v>IU</v>
      </c>
      <c r="C29" s="472">
        <f>IF(D11="","-",+C28+1)</f>
        <v>2020</v>
      </c>
      <c r="D29" s="479">
        <v>1168889.0405099166</v>
      </c>
      <c r="E29" s="480">
        <v>36202.428571428572</v>
      </c>
      <c r="F29" s="479">
        <v>1132686.611938488</v>
      </c>
      <c r="G29" s="480">
        <v>160493.01101346352</v>
      </c>
      <c r="H29" s="481">
        <v>160493.01101346352</v>
      </c>
      <c r="I29" s="475">
        <f t="shared" si="0"/>
        <v>0</v>
      </c>
      <c r="J29" s="475"/>
      <c r="K29" s="476">
        <f t="shared" si="10"/>
        <v>160493.01101346352</v>
      </c>
      <c r="L29" s="550">
        <f t="shared" ref="L29" si="15">IF(K29&lt;&gt;0,+G29-K29,0)</f>
        <v>0</v>
      </c>
      <c r="M29" s="476">
        <f t="shared" si="11"/>
        <v>160493.01101346352</v>
      </c>
      <c r="N29" s="478">
        <f t="shared" si="2"/>
        <v>0</v>
      </c>
      <c r="O29" s="478">
        <f t="shared" si="3"/>
        <v>0</v>
      </c>
      <c r="P29" s="242"/>
    </row>
    <row r="30" spans="2:16" ht="12.5">
      <c r="B30" s="160" t="str">
        <f t="shared" si="6"/>
        <v>IU</v>
      </c>
      <c r="C30" s="472">
        <f>IF(D11="","-",+C29+1)</f>
        <v>2021</v>
      </c>
      <c r="D30" s="479">
        <v>1128462.995271821</v>
      </c>
      <c r="E30" s="480">
        <v>35360.511627906977</v>
      </c>
      <c r="F30" s="479">
        <v>1093102.4836439141</v>
      </c>
      <c r="G30" s="480">
        <v>153220.62710843381</v>
      </c>
      <c r="H30" s="481">
        <v>153220.62710843381</v>
      </c>
      <c r="I30" s="475">
        <f t="shared" si="0"/>
        <v>0</v>
      </c>
      <c r="J30" s="475"/>
      <c r="K30" s="476">
        <f t="shared" si="10"/>
        <v>153220.62710843381</v>
      </c>
      <c r="L30" s="550">
        <f t="shared" ref="L30" si="16">IF(K30&lt;&gt;0,+G30-K30,0)</f>
        <v>0</v>
      </c>
      <c r="M30" s="476">
        <f t="shared" si="11"/>
        <v>153220.62710843381</v>
      </c>
      <c r="N30" s="478">
        <f t="shared" si="2"/>
        <v>0</v>
      </c>
      <c r="O30" s="478">
        <f t="shared" si="3"/>
        <v>0</v>
      </c>
      <c r="P30" s="242"/>
    </row>
    <row r="31" spans="2:16" ht="12.5">
      <c r="B31" s="160" t="str">
        <f t="shared" si="6"/>
        <v/>
      </c>
      <c r="C31" s="472">
        <f>IF(D11="","-",+C30+1)</f>
        <v>2022</v>
      </c>
      <c r="D31" s="479">
        <v>1093102.4836439141</v>
      </c>
      <c r="E31" s="480">
        <v>36202.428571428572</v>
      </c>
      <c r="F31" s="479">
        <v>1056900.0550724855</v>
      </c>
      <c r="G31" s="480">
        <v>150148.14020254629</v>
      </c>
      <c r="H31" s="481">
        <v>150148.14020254629</v>
      </c>
      <c r="I31" s="475">
        <f t="shared" si="0"/>
        <v>0</v>
      </c>
      <c r="J31" s="475"/>
      <c r="K31" s="476">
        <f t="shared" ref="K31" si="17">G31</f>
        <v>150148.14020254629</v>
      </c>
      <c r="L31" s="550">
        <f t="shared" ref="L31" si="18">IF(K31&lt;&gt;0,+G31-K31,0)</f>
        <v>0</v>
      </c>
      <c r="M31" s="476">
        <f t="shared" ref="M31" si="19">H31</f>
        <v>150148.14020254629</v>
      </c>
      <c r="N31" s="478">
        <f t="shared" si="2"/>
        <v>0</v>
      </c>
      <c r="O31" s="478">
        <f t="shared" si="3"/>
        <v>0</v>
      </c>
      <c r="P31" s="242"/>
    </row>
    <row r="32" spans="2:16" ht="12.5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1056900.0550724855</v>
      </c>
      <c r="E32" s="484">
        <f>IF(+I14&lt;F31,I14,D32)</f>
        <v>38987.230769230766</v>
      </c>
      <c r="F32" s="485">
        <f t="shared" ref="F32:F48" si="20">+D32-E32</f>
        <v>1017912.8243032547</v>
      </c>
      <c r="G32" s="486">
        <f t="shared" ref="G32:G72" si="21">+I$12*F32+E32</f>
        <v>160484.23733816287</v>
      </c>
      <c r="H32" s="455">
        <f t="shared" ref="H32:H72" si="22">+I$13*F32+E32</f>
        <v>160484.23733816287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 ht="12.5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1017912.8243032547</v>
      </c>
      <c r="E33" s="484">
        <f>IF(+I14&lt;F32,I14,D33)</f>
        <v>38987.230769230766</v>
      </c>
      <c r="F33" s="485">
        <f t="shared" si="20"/>
        <v>978925.59353402397</v>
      </c>
      <c r="G33" s="486">
        <f t="shared" si="21"/>
        <v>155830.76238453313</v>
      </c>
      <c r="H33" s="455">
        <f t="shared" si="22"/>
        <v>155830.76238453313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 ht="12.5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978925.59353402397</v>
      </c>
      <c r="E34" s="484">
        <f>IF(+I14&lt;F33,I14,D34)</f>
        <v>38987.230769230766</v>
      </c>
      <c r="F34" s="485">
        <f t="shared" si="20"/>
        <v>939938.36276479322</v>
      </c>
      <c r="G34" s="486">
        <f t="shared" si="21"/>
        <v>151177.28743090341</v>
      </c>
      <c r="H34" s="455">
        <f t="shared" si="22"/>
        <v>151177.28743090341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 ht="12.5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939938.36276479322</v>
      </c>
      <c r="E35" s="484">
        <f>IF(+I14&lt;F34,I14,D35)</f>
        <v>38987.230769230766</v>
      </c>
      <c r="F35" s="485">
        <f t="shared" si="20"/>
        <v>900951.13199556246</v>
      </c>
      <c r="G35" s="486">
        <f t="shared" si="21"/>
        <v>146523.81247727366</v>
      </c>
      <c r="H35" s="455">
        <f t="shared" si="22"/>
        <v>146523.81247727366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 ht="12.5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900951.13199556246</v>
      </c>
      <c r="E36" s="484">
        <f>IF(+I14&lt;F35,I14,D36)</f>
        <v>38987.230769230766</v>
      </c>
      <c r="F36" s="485">
        <f t="shared" si="20"/>
        <v>861963.90122633171</v>
      </c>
      <c r="G36" s="486">
        <f t="shared" si="21"/>
        <v>141870.33752364392</v>
      </c>
      <c r="H36" s="455">
        <f t="shared" si="22"/>
        <v>141870.33752364392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 ht="12.5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861963.90122633171</v>
      </c>
      <c r="E37" s="484">
        <f>IF(+I14&lt;F36,I14,D37)</f>
        <v>38987.230769230766</v>
      </c>
      <c r="F37" s="485">
        <f t="shared" si="20"/>
        <v>822976.67045710096</v>
      </c>
      <c r="G37" s="486">
        <f t="shared" si="21"/>
        <v>137216.8625700142</v>
      </c>
      <c r="H37" s="455">
        <f t="shared" si="22"/>
        <v>137216.8625700142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 ht="12.5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822976.67045710096</v>
      </c>
      <c r="E38" s="484">
        <f>IF(+I14&lt;F37,I14,D38)</f>
        <v>38987.230769230766</v>
      </c>
      <c r="F38" s="485">
        <f t="shared" si="20"/>
        <v>783989.43968787021</v>
      </c>
      <c r="G38" s="486">
        <f t="shared" si="21"/>
        <v>132563.38761638448</v>
      </c>
      <c r="H38" s="455">
        <f t="shared" si="22"/>
        <v>132563.38761638448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 ht="12.5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783989.43968787021</v>
      </c>
      <c r="E39" s="484">
        <f>IF(+I14&lt;F38,I14,D39)</f>
        <v>38987.230769230766</v>
      </c>
      <c r="F39" s="485">
        <f t="shared" si="20"/>
        <v>745002.20891863946</v>
      </c>
      <c r="G39" s="486">
        <f t="shared" si="21"/>
        <v>127909.91266275472</v>
      </c>
      <c r="H39" s="455">
        <f t="shared" si="22"/>
        <v>127909.91266275472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 ht="12.5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745002.20891863946</v>
      </c>
      <c r="E40" s="484">
        <f>IF(+I14&lt;F39,I14,D40)</f>
        <v>38987.230769230766</v>
      </c>
      <c r="F40" s="485">
        <f t="shared" si="20"/>
        <v>706014.97814940871</v>
      </c>
      <c r="G40" s="486">
        <f t="shared" si="21"/>
        <v>123256.43770912499</v>
      </c>
      <c r="H40" s="455">
        <f t="shared" si="22"/>
        <v>123256.43770912499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 ht="12.5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706014.97814940871</v>
      </c>
      <c r="E41" s="484">
        <f>IF(+I14&lt;F40,I14,D41)</f>
        <v>38987.230769230766</v>
      </c>
      <c r="F41" s="485">
        <f t="shared" si="20"/>
        <v>667027.74738017796</v>
      </c>
      <c r="G41" s="486">
        <f t="shared" si="21"/>
        <v>118602.96275549526</v>
      </c>
      <c r="H41" s="455">
        <f t="shared" si="22"/>
        <v>118602.96275549526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 ht="12.5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667027.74738017796</v>
      </c>
      <c r="E42" s="484">
        <f>IF(+I14&lt;F41,I14,D42)</f>
        <v>38987.230769230766</v>
      </c>
      <c r="F42" s="485">
        <f t="shared" si="20"/>
        <v>628040.5166109472</v>
      </c>
      <c r="G42" s="486">
        <f t="shared" si="21"/>
        <v>113949.48780186553</v>
      </c>
      <c r="H42" s="455">
        <f t="shared" si="22"/>
        <v>113949.48780186553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 ht="12.5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628040.5166109472</v>
      </c>
      <c r="E43" s="484">
        <f>IF(+I14&lt;F42,I14,D43)</f>
        <v>38987.230769230766</v>
      </c>
      <c r="F43" s="485">
        <f t="shared" si="20"/>
        <v>589053.28584171645</v>
      </c>
      <c r="G43" s="486">
        <f t="shared" si="21"/>
        <v>109296.01284823578</v>
      </c>
      <c r="H43" s="455">
        <f t="shared" si="22"/>
        <v>109296.01284823578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 ht="12.5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589053.28584171645</v>
      </c>
      <c r="E44" s="484">
        <f>IF(+I14&lt;F43,I14,D44)</f>
        <v>38987.230769230766</v>
      </c>
      <c r="F44" s="485">
        <f t="shared" si="20"/>
        <v>550066.0550724857</v>
      </c>
      <c r="G44" s="486">
        <f t="shared" si="21"/>
        <v>104642.53789460605</v>
      </c>
      <c r="H44" s="455">
        <f t="shared" si="22"/>
        <v>104642.53789460605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 ht="12.5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550066.0550724857</v>
      </c>
      <c r="E45" s="484">
        <f>IF(+I14&lt;F44,I14,D45)</f>
        <v>38987.230769230766</v>
      </c>
      <c r="F45" s="485">
        <f t="shared" si="20"/>
        <v>511078.82430325495</v>
      </c>
      <c r="G45" s="486">
        <f t="shared" si="21"/>
        <v>99989.062940976321</v>
      </c>
      <c r="H45" s="455">
        <f t="shared" si="22"/>
        <v>99989.062940976321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 ht="12.5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511078.82430325495</v>
      </c>
      <c r="E46" s="484">
        <f>IF(+I14&lt;F45,I14,D46)</f>
        <v>38987.230769230766</v>
      </c>
      <c r="F46" s="485">
        <f t="shared" si="20"/>
        <v>472091.5935340242</v>
      </c>
      <c r="G46" s="486">
        <f t="shared" si="21"/>
        <v>95335.587987346589</v>
      </c>
      <c r="H46" s="455">
        <f t="shared" si="22"/>
        <v>95335.587987346589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 ht="12.5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472091.5935340242</v>
      </c>
      <c r="E47" s="484">
        <f>IF(+I14&lt;F46,I14,D47)</f>
        <v>38987.230769230766</v>
      </c>
      <c r="F47" s="485">
        <f t="shared" si="20"/>
        <v>433104.36276479345</v>
      </c>
      <c r="G47" s="486">
        <f t="shared" si="21"/>
        <v>90682.113033716858</v>
      </c>
      <c r="H47" s="455">
        <f t="shared" si="22"/>
        <v>90682.113033716858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 ht="12.5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433104.36276479345</v>
      </c>
      <c r="E48" s="484">
        <f>IF(+I14&lt;F47,I14,D48)</f>
        <v>38987.230769230766</v>
      </c>
      <c r="F48" s="485">
        <f t="shared" si="20"/>
        <v>394117.1319955627</v>
      </c>
      <c r="G48" s="486">
        <f t="shared" si="21"/>
        <v>86028.638080087112</v>
      </c>
      <c r="H48" s="455">
        <f t="shared" si="22"/>
        <v>86028.638080087112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 ht="12.5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394117.1319955627</v>
      </c>
      <c r="E49" s="484">
        <f>IF(+I14&lt;F48,I14,D49)</f>
        <v>38987.230769230766</v>
      </c>
      <c r="F49" s="485">
        <f t="shared" ref="F49:F72" si="23">+D49-E49</f>
        <v>355129.90122633195</v>
      </c>
      <c r="G49" s="486">
        <f t="shared" si="21"/>
        <v>81375.163126457381</v>
      </c>
      <c r="H49" s="455">
        <f t="shared" si="22"/>
        <v>81375.163126457381</v>
      </c>
      <c r="I49" s="475">
        <f t="shared" ref="I49:I72" si="24">H49-G49</f>
        <v>0</v>
      </c>
      <c r="J49" s="475"/>
      <c r="K49" s="487"/>
      <c r="L49" s="478">
        <f t="shared" ref="L49:L72" si="25">IF(K49&lt;&gt;0,+G49-K49,0)</f>
        <v>0</v>
      </c>
      <c r="M49" s="487"/>
      <c r="N49" s="478">
        <f t="shared" ref="N49:N72" si="26">IF(M49&lt;&gt;0,+H49-M49,0)</f>
        <v>0</v>
      </c>
      <c r="O49" s="478">
        <f t="shared" ref="O49:O72" si="27">+N49-L49</f>
        <v>0</v>
      </c>
      <c r="P49" s="242"/>
    </row>
    <row r="50" spans="2:16" ht="12.5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355129.90122633195</v>
      </c>
      <c r="E50" s="484">
        <f>IF(+I14&lt;F49,I14,D50)</f>
        <v>38987.230769230766</v>
      </c>
      <c r="F50" s="485">
        <f t="shared" si="23"/>
        <v>316142.67045710119</v>
      </c>
      <c r="G50" s="486">
        <f t="shared" si="21"/>
        <v>76721.688172827649</v>
      </c>
      <c r="H50" s="455">
        <f t="shared" si="22"/>
        <v>76721.688172827649</v>
      </c>
      <c r="I50" s="475">
        <f t="shared" si="24"/>
        <v>0</v>
      </c>
      <c r="J50" s="475"/>
      <c r="K50" s="487"/>
      <c r="L50" s="478">
        <f t="shared" si="25"/>
        <v>0</v>
      </c>
      <c r="M50" s="487"/>
      <c r="N50" s="478">
        <f t="shared" si="26"/>
        <v>0</v>
      </c>
      <c r="O50" s="478">
        <f t="shared" si="27"/>
        <v>0</v>
      </c>
      <c r="P50" s="242"/>
    </row>
    <row r="51" spans="2:16" ht="12.5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316142.67045710119</v>
      </c>
      <c r="E51" s="484">
        <f>IF(+I14&lt;F50,I14,D51)</f>
        <v>38987.230769230766</v>
      </c>
      <c r="F51" s="485">
        <f t="shared" si="23"/>
        <v>277155.43968787044</v>
      </c>
      <c r="G51" s="486">
        <f t="shared" si="21"/>
        <v>72068.213219197904</v>
      </c>
      <c r="H51" s="455">
        <f t="shared" si="22"/>
        <v>72068.213219197904</v>
      </c>
      <c r="I51" s="475">
        <f t="shared" si="24"/>
        <v>0</v>
      </c>
      <c r="J51" s="475"/>
      <c r="K51" s="487"/>
      <c r="L51" s="478">
        <f t="shared" si="25"/>
        <v>0</v>
      </c>
      <c r="M51" s="487"/>
      <c r="N51" s="478">
        <f t="shared" si="26"/>
        <v>0</v>
      </c>
      <c r="O51" s="478">
        <f t="shared" si="27"/>
        <v>0</v>
      </c>
      <c r="P51" s="242"/>
    </row>
    <row r="52" spans="2:16" ht="12.5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277155.43968787044</v>
      </c>
      <c r="E52" s="484">
        <f>IF(+I14&lt;F51,I14,D52)</f>
        <v>38987.230769230766</v>
      </c>
      <c r="F52" s="485">
        <f t="shared" si="23"/>
        <v>238168.20891863969</v>
      </c>
      <c r="G52" s="486">
        <f t="shared" si="21"/>
        <v>67414.738265568187</v>
      </c>
      <c r="H52" s="455">
        <f t="shared" si="22"/>
        <v>67414.738265568187</v>
      </c>
      <c r="I52" s="475">
        <f t="shared" si="24"/>
        <v>0</v>
      </c>
      <c r="J52" s="475"/>
      <c r="K52" s="487"/>
      <c r="L52" s="478">
        <f t="shared" si="25"/>
        <v>0</v>
      </c>
      <c r="M52" s="487"/>
      <c r="N52" s="478">
        <f t="shared" si="26"/>
        <v>0</v>
      </c>
      <c r="O52" s="478">
        <f t="shared" si="27"/>
        <v>0</v>
      </c>
      <c r="P52" s="242"/>
    </row>
    <row r="53" spans="2:16" ht="12.5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238168.20891863969</v>
      </c>
      <c r="E53" s="484">
        <f>IF(+I14&lt;F52,I14,D53)</f>
        <v>38987.230769230766</v>
      </c>
      <c r="F53" s="485">
        <f t="shared" si="23"/>
        <v>199180.97814940894</v>
      </c>
      <c r="G53" s="486">
        <f t="shared" si="21"/>
        <v>62761.263311938441</v>
      </c>
      <c r="H53" s="455">
        <f t="shared" si="22"/>
        <v>62761.263311938441</v>
      </c>
      <c r="I53" s="475">
        <f t="shared" si="24"/>
        <v>0</v>
      </c>
      <c r="J53" s="475"/>
      <c r="K53" s="487"/>
      <c r="L53" s="478">
        <f t="shared" si="25"/>
        <v>0</v>
      </c>
      <c r="M53" s="487"/>
      <c r="N53" s="478">
        <f t="shared" si="26"/>
        <v>0</v>
      </c>
      <c r="O53" s="478">
        <f t="shared" si="27"/>
        <v>0</v>
      </c>
      <c r="P53" s="242"/>
    </row>
    <row r="54" spans="2:16" ht="12.5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199180.97814940894</v>
      </c>
      <c r="E54" s="484">
        <f>IF(+I14&lt;F53,I14,D54)</f>
        <v>38987.230769230766</v>
      </c>
      <c r="F54" s="485">
        <f t="shared" si="23"/>
        <v>160193.74738017819</v>
      </c>
      <c r="G54" s="486">
        <f t="shared" si="21"/>
        <v>58107.78835830871</v>
      </c>
      <c r="H54" s="455">
        <f t="shared" si="22"/>
        <v>58107.78835830871</v>
      </c>
      <c r="I54" s="475">
        <f t="shared" si="24"/>
        <v>0</v>
      </c>
      <c r="J54" s="475"/>
      <c r="K54" s="487"/>
      <c r="L54" s="478">
        <f t="shared" si="25"/>
        <v>0</v>
      </c>
      <c r="M54" s="487"/>
      <c r="N54" s="478">
        <f t="shared" si="26"/>
        <v>0</v>
      </c>
      <c r="O54" s="478">
        <f t="shared" si="27"/>
        <v>0</v>
      </c>
      <c r="P54" s="242"/>
    </row>
    <row r="55" spans="2:16" ht="12.5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160193.74738017819</v>
      </c>
      <c r="E55" s="484">
        <f>IF(+I14&lt;F54,I14,D55)</f>
        <v>38987.230769230766</v>
      </c>
      <c r="F55" s="485">
        <f t="shared" si="23"/>
        <v>121206.51661094742</v>
      </c>
      <c r="G55" s="486">
        <f t="shared" si="21"/>
        <v>53454.313404678971</v>
      </c>
      <c r="H55" s="455">
        <f t="shared" si="22"/>
        <v>53454.313404678971</v>
      </c>
      <c r="I55" s="475">
        <f t="shared" si="24"/>
        <v>0</v>
      </c>
      <c r="J55" s="475"/>
      <c r="K55" s="487"/>
      <c r="L55" s="478">
        <f t="shared" si="25"/>
        <v>0</v>
      </c>
      <c r="M55" s="487"/>
      <c r="N55" s="478">
        <f t="shared" si="26"/>
        <v>0</v>
      </c>
      <c r="O55" s="478">
        <f t="shared" si="27"/>
        <v>0</v>
      </c>
      <c r="P55" s="242"/>
    </row>
    <row r="56" spans="2:16" ht="12.5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121206.51661094742</v>
      </c>
      <c r="E56" s="484">
        <f>IF(+I14&lt;F55,I14,D56)</f>
        <v>38987.230769230766</v>
      </c>
      <c r="F56" s="485">
        <f t="shared" si="23"/>
        <v>82219.285841716657</v>
      </c>
      <c r="G56" s="486">
        <f t="shared" si="21"/>
        <v>48800.838451049232</v>
      </c>
      <c r="H56" s="455">
        <f t="shared" si="22"/>
        <v>48800.838451049232</v>
      </c>
      <c r="I56" s="475">
        <f t="shared" si="24"/>
        <v>0</v>
      </c>
      <c r="J56" s="475"/>
      <c r="K56" s="487"/>
      <c r="L56" s="478">
        <f t="shared" si="25"/>
        <v>0</v>
      </c>
      <c r="M56" s="487"/>
      <c r="N56" s="478">
        <f t="shared" si="26"/>
        <v>0</v>
      </c>
      <c r="O56" s="478">
        <f t="shared" si="27"/>
        <v>0</v>
      </c>
      <c r="P56" s="242"/>
    </row>
    <row r="57" spans="2:16" ht="12.5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82219.285841716657</v>
      </c>
      <c r="E57" s="484">
        <f>IF(+I14&lt;F56,I14,D57)</f>
        <v>38987.230769230766</v>
      </c>
      <c r="F57" s="485">
        <f t="shared" si="23"/>
        <v>43232.055072485891</v>
      </c>
      <c r="G57" s="486">
        <f t="shared" si="21"/>
        <v>44147.363497419501</v>
      </c>
      <c r="H57" s="455">
        <f t="shared" si="22"/>
        <v>44147.363497419501</v>
      </c>
      <c r="I57" s="475">
        <f t="shared" si="24"/>
        <v>0</v>
      </c>
      <c r="J57" s="475"/>
      <c r="K57" s="487"/>
      <c r="L57" s="478">
        <f t="shared" si="25"/>
        <v>0</v>
      </c>
      <c r="M57" s="487"/>
      <c r="N57" s="478">
        <f t="shared" si="26"/>
        <v>0</v>
      </c>
      <c r="O57" s="478">
        <f t="shared" si="27"/>
        <v>0</v>
      </c>
      <c r="P57" s="242"/>
    </row>
    <row r="58" spans="2:16" ht="12.5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43232.055072485891</v>
      </c>
      <c r="E58" s="484">
        <f>IF(+I14&lt;F57,I14,D58)</f>
        <v>38987.230769230766</v>
      </c>
      <c r="F58" s="485">
        <f t="shared" si="23"/>
        <v>4244.8243032551254</v>
      </c>
      <c r="G58" s="486">
        <f t="shared" si="21"/>
        <v>39493.888543789762</v>
      </c>
      <c r="H58" s="455">
        <f t="shared" si="22"/>
        <v>39493.888543789762</v>
      </c>
      <c r="I58" s="475">
        <f t="shared" si="24"/>
        <v>0</v>
      </c>
      <c r="J58" s="475"/>
      <c r="K58" s="487"/>
      <c r="L58" s="478">
        <f t="shared" si="25"/>
        <v>0</v>
      </c>
      <c r="M58" s="487"/>
      <c r="N58" s="478">
        <f t="shared" si="26"/>
        <v>0</v>
      </c>
      <c r="O58" s="478">
        <f t="shared" si="27"/>
        <v>0</v>
      </c>
      <c r="P58" s="242"/>
    </row>
    <row r="59" spans="2:16" ht="12.5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4244.8243032551254</v>
      </c>
      <c r="E59" s="484">
        <f>IF(+I14&lt;F58,I14,D59)</f>
        <v>4244.8243032551254</v>
      </c>
      <c r="F59" s="485">
        <f t="shared" si="23"/>
        <v>0</v>
      </c>
      <c r="G59" s="486">
        <f t="shared" si="21"/>
        <v>4244.8243032551254</v>
      </c>
      <c r="H59" s="455">
        <f t="shared" si="22"/>
        <v>4244.8243032551254</v>
      </c>
      <c r="I59" s="475">
        <f t="shared" si="24"/>
        <v>0</v>
      </c>
      <c r="J59" s="475"/>
      <c r="K59" s="487"/>
      <c r="L59" s="478">
        <f t="shared" si="25"/>
        <v>0</v>
      </c>
      <c r="M59" s="487"/>
      <c r="N59" s="478">
        <f t="shared" si="26"/>
        <v>0</v>
      </c>
      <c r="O59" s="478">
        <f t="shared" si="27"/>
        <v>0</v>
      </c>
      <c r="P59" s="242"/>
    </row>
    <row r="60" spans="2:16" ht="12.5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0</v>
      </c>
      <c r="E60" s="484">
        <f>IF(+I14&lt;F59,I14,D60)</f>
        <v>0</v>
      </c>
      <c r="F60" s="485">
        <f t="shared" si="23"/>
        <v>0</v>
      </c>
      <c r="G60" s="486">
        <f t="shared" si="21"/>
        <v>0</v>
      </c>
      <c r="H60" s="455">
        <f t="shared" si="22"/>
        <v>0</v>
      </c>
      <c r="I60" s="475">
        <f t="shared" si="24"/>
        <v>0</v>
      </c>
      <c r="J60" s="475"/>
      <c r="K60" s="487"/>
      <c r="L60" s="478">
        <f t="shared" si="25"/>
        <v>0</v>
      </c>
      <c r="M60" s="487"/>
      <c r="N60" s="478">
        <f t="shared" si="26"/>
        <v>0</v>
      </c>
      <c r="O60" s="478">
        <f t="shared" si="27"/>
        <v>0</v>
      </c>
      <c r="P60" s="242"/>
    </row>
    <row r="61" spans="2:16" ht="12.5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1"/>
        <v>0</v>
      </c>
      <c r="H61" s="455">
        <f t="shared" si="22"/>
        <v>0</v>
      </c>
      <c r="I61" s="475">
        <f t="shared" si="24"/>
        <v>0</v>
      </c>
      <c r="J61" s="475"/>
      <c r="K61" s="487"/>
      <c r="L61" s="478">
        <f t="shared" si="25"/>
        <v>0</v>
      </c>
      <c r="M61" s="487"/>
      <c r="N61" s="478">
        <f t="shared" si="26"/>
        <v>0</v>
      </c>
      <c r="O61" s="478">
        <f t="shared" si="27"/>
        <v>0</v>
      </c>
      <c r="P61" s="242"/>
    </row>
    <row r="62" spans="2:16" ht="12.5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1"/>
        <v>0</v>
      </c>
      <c r="H62" s="455">
        <f t="shared" si="22"/>
        <v>0</v>
      </c>
      <c r="I62" s="475">
        <f t="shared" si="24"/>
        <v>0</v>
      </c>
      <c r="J62" s="475"/>
      <c r="K62" s="487"/>
      <c r="L62" s="478">
        <f t="shared" si="25"/>
        <v>0</v>
      </c>
      <c r="M62" s="487"/>
      <c r="N62" s="478">
        <f t="shared" si="26"/>
        <v>0</v>
      </c>
      <c r="O62" s="478">
        <f t="shared" si="27"/>
        <v>0</v>
      </c>
      <c r="P62" s="242"/>
    </row>
    <row r="63" spans="2:16" ht="12.5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1"/>
        <v>0</v>
      </c>
      <c r="H63" s="455">
        <f t="shared" si="22"/>
        <v>0</v>
      </c>
      <c r="I63" s="475">
        <f t="shared" si="24"/>
        <v>0</v>
      </c>
      <c r="J63" s="475"/>
      <c r="K63" s="487"/>
      <c r="L63" s="478">
        <f t="shared" si="25"/>
        <v>0</v>
      </c>
      <c r="M63" s="487"/>
      <c r="N63" s="478">
        <f t="shared" si="26"/>
        <v>0</v>
      </c>
      <c r="O63" s="478">
        <f t="shared" si="27"/>
        <v>0</v>
      </c>
      <c r="P63" s="242"/>
    </row>
    <row r="64" spans="2:16" ht="12.5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1"/>
        <v>0</v>
      </c>
      <c r="H64" s="455">
        <f t="shared" si="22"/>
        <v>0</v>
      </c>
      <c r="I64" s="475">
        <f t="shared" si="24"/>
        <v>0</v>
      </c>
      <c r="J64" s="475"/>
      <c r="K64" s="487"/>
      <c r="L64" s="478">
        <f t="shared" si="25"/>
        <v>0</v>
      </c>
      <c r="M64" s="487"/>
      <c r="N64" s="478">
        <f t="shared" si="26"/>
        <v>0</v>
      </c>
      <c r="O64" s="478">
        <f t="shared" si="27"/>
        <v>0</v>
      </c>
      <c r="P64" s="242"/>
    </row>
    <row r="65" spans="2:16" ht="12.5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1"/>
        <v>0</v>
      </c>
      <c r="H65" s="455">
        <f t="shared" si="22"/>
        <v>0</v>
      </c>
      <c r="I65" s="475">
        <f t="shared" si="24"/>
        <v>0</v>
      </c>
      <c r="J65" s="475"/>
      <c r="K65" s="487"/>
      <c r="L65" s="478">
        <f t="shared" si="25"/>
        <v>0</v>
      </c>
      <c r="M65" s="487"/>
      <c r="N65" s="478">
        <f t="shared" si="26"/>
        <v>0</v>
      </c>
      <c r="O65" s="478">
        <f t="shared" si="27"/>
        <v>0</v>
      </c>
      <c r="P65" s="242"/>
    </row>
    <row r="66" spans="2:16" ht="12.5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1"/>
        <v>0</v>
      </c>
      <c r="H66" s="455">
        <f t="shared" si="22"/>
        <v>0</v>
      </c>
      <c r="I66" s="475">
        <f t="shared" si="24"/>
        <v>0</v>
      </c>
      <c r="J66" s="475"/>
      <c r="K66" s="487"/>
      <c r="L66" s="478">
        <f t="shared" si="25"/>
        <v>0</v>
      </c>
      <c r="M66" s="487"/>
      <c r="N66" s="478">
        <f t="shared" si="26"/>
        <v>0</v>
      </c>
      <c r="O66" s="478">
        <f t="shared" si="27"/>
        <v>0</v>
      </c>
      <c r="P66" s="242"/>
    </row>
    <row r="67" spans="2:16" ht="12.5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1"/>
        <v>0</v>
      </c>
      <c r="H67" s="455">
        <f t="shared" si="22"/>
        <v>0</v>
      </c>
      <c r="I67" s="475">
        <f t="shared" si="24"/>
        <v>0</v>
      </c>
      <c r="J67" s="475"/>
      <c r="K67" s="487"/>
      <c r="L67" s="478">
        <f t="shared" si="25"/>
        <v>0</v>
      </c>
      <c r="M67" s="487"/>
      <c r="N67" s="478">
        <f t="shared" si="26"/>
        <v>0</v>
      </c>
      <c r="O67" s="478">
        <f t="shared" si="27"/>
        <v>0</v>
      </c>
      <c r="P67" s="242"/>
    </row>
    <row r="68" spans="2:16" ht="12.5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1"/>
        <v>0</v>
      </c>
      <c r="H68" s="455">
        <f t="shared" si="22"/>
        <v>0</v>
      </c>
      <c r="I68" s="475">
        <f t="shared" si="24"/>
        <v>0</v>
      </c>
      <c r="J68" s="475"/>
      <c r="K68" s="487"/>
      <c r="L68" s="478">
        <f t="shared" si="25"/>
        <v>0</v>
      </c>
      <c r="M68" s="487"/>
      <c r="N68" s="478">
        <f t="shared" si="26"/>
        <v>0</v>
      </c>
      <c r="O68" s="478">
        <f t="shared" si="27"/>
        <v>0</v>
      </c>
      <c r="P68" s="242"/>
    </row>
    <row r="69" spans="2:16" ht="12.5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1"/>
        <v>0</v>
      </c>
      <c r="H69" s="455">
        <f t="shared" si="22"/>
        <v>0</v>
      </c>
      <c r="I69" s="475">
        <f t="shared" si="24"/>
        <v>0</v>
      </c>
      <c r="J69" s="475"/>
      <c r="K69" s="487"/>
      <c r="L69" s="478">
        <f t="shared" si="25"/>
        <v>0</v>
      </c>
      <c r="M69" s="487"/>
      <c r="N69" s="478">
        <f t="shared" si="26"/>
        <v>0</v>
      </c>
      <c r="O69" s="478">
        <f t="shared" si="27"/>
        <v>0</v>
      </c>
      <c r="P69" s="242"/>
    </row>
    <row r="70" spans="2:16" ht="12.5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1"/>
        <v>0</v>
      </c>
      <c r="H70" s="455">
        <f t="shared" si="22"/>
        <v>0</v>
      </c>
      <c r="I70" s="475">
        <f t="shared" si="24"/>
        <v>0</v>
      </c>
      <c r="J70" s="475"/>
      <c r="K70" s="487"/>
      <c r="L70" s="478">
        <f t="shared" si="25"/>
        <v>0</v>
      </c>
      <c r="M70" s="487"/>
      <c r="N70" s="478">
        <f t="shared" si="26"/>
        <v>0</v>
      </c>
      <c r="O70" s="478">
        <f t="shared" si="27"/>
        <v>0</v>
      </c>
      <c r="P70" s="242"/>
    </row>
    <row r="71" spans="2:16" ht="12.5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1"/>
        <v>0</v>
      </c>
      <c r="H71" s="455">
        <f t="shared" si="22"/>
        <v>0</v>
      </c>
      <c r="I71" s="475">
        <f t="shared" si="24"/>
        <v>0</v>
      </c>
      <c r="J71" s="475"/>
      <c r="K71" s="487"/>
      <c r="L71" s="478">
        <f t="shared" si="25"/>
        <v>0</v>
      </c>
      <c r="M71" s="487"/>
      <c r="N71" s="478">
        <f t="shared" si="26"/>
        <v>0</v>
      </c>
      <c r="O71" s="478">
        <f t="shared" si="27"/>
        <v>0</v>
      </c>
      <c r="P71" s="242"/>
    </row>
    <row r="72" spans="2:16" ht="13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1"/>
        <v>0</v>
      </c>
      <c r="H72" s="435">
        <f t="shared" si="22"/>
        <v>0</v>
      </c>
      <c r="I72" s="493">
        <f t="shared" si="24"/>
        <v>0</v>
      </c>
      <c r="J72" s="475"/>
      <c r="K72" s="494"/>
      <c r="L72" s="495">
        <f t="shared" si="25"/>
        <v>0</v>
      </c>
      <c r="M72" s="494"/>
      <c r="N72" s="495">
        <f t="shared" si="26"/>
        <v>0</v>
      </c>
      <c r="O72" s="495">
        <f t="shared" si="27"/>
        <v>0</v>
      </c>
      <c r="P72" s="242"/>
    </row>
    <row r="73" spans="2:16" ht="12.5">
      <c r="C73" s="346" t="s">
        <v>77</v>
      </c>
      <c r="D73" s="347"/>
      <c r="E73" s="347">
        <f>SUM(E17:E72)</f>
        <v>1520502</v>
      </c>
      <c r="F73" s="347"/>
      <c r="G73" s="347">
        <f>SUM(G17:G72)</f>
        <v>5511139.7157758446</v>
      </c>
      <c r="H73" s="347">
        <f>SUM(H17:H72)</f>
        <v>5511139.7157758446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 ht="12.5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 ht="13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 ht="13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 ht="13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 ht="13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 ht="12.5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7.5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 ht="12.5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 ht="12.5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6 of 31</v>
      </c>
    </row>
    <row r="84" spans="1:16" ht="17.5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7.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6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2021</v>
      </c>
      <c r="M86" s="503" t="s">
        <v>8</v>
      </c>
      <c r="N86" s="504" t="s">
        <v>153</v>
      </c>
      <c r="O86" s="505" t="s">
        <v>10</v>
      </c>
      <c r="P86" s="232"/>
    </row>
    <row r="87" spans="1:16" ht="15.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153220.62710843381</v>
      </c>
      <c r="N87" s="508">
        <f>IF(J92&lt;D11,0,VLOOKUP(J92,C17:O72,11))</f>
        <v>153220.62710843381</v>
      </c>
      <c r="O87" s="509">
        <f>+N87-M87</f>
        <v>0</v>
      </c>
      <c r="P87" s="232"/>
    </row>
    <row r="88" spans="1:16" ht="15.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162911.77916931669</v>
      </c>
      <c r="N88" s="512">
        <f>IF(J92&lt;D11,0,VLOOKUP(J92,C99:P154,7))</f>
        <v>162911.77916931669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Pryor Junction 138/69 Upgrade Transf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9691.1520608828869</v>
      </c>
      <c r="N89" s="517">
        <f>+N88-N87</f>
        <v>9691.1520608828869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TP2006090</v>
      </c>
      <c r="E91" s="522"/>
      <c r="F91" s="522"/>
      <c r="G91" s="522"/>
      <c r="H91" s="522"/>
      <c r="I91" s="522"/>
      <c r="J91" s="522"/>
      <c r="K91" s="524"/>
      <c r="P91" s="445"/>
    </row>
    <row r="92" spans="1:16" ht="13">
      <c r="C92" s="446" t="s">
        <v>226</v>
      </c>
      <c r="D92" s="447">
        <v>1520502</v>
      </c>
      <c r="E92" s="311" t="s">
        <v>94</v>
      </c>
      <c r="H92" s="448"/>
      <c r="I92" s="448"/>
      <c r="J92" s="449">
        <f>+'PSO.WS.G.BPU.ATRR.True-up'!M16</f>
        <v>2021</v>
      </c>
      <c r="K92" s="444"/>
      <c r="L92" s="347" t="s">
        <v>95</v>
      </c>
      <c r="P92" s="242"/>
    </row>
    <row r="93" spans="1:16" ht="12.5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 ht="12.5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0.11379279303146381</v>
      </c>
      <c r="K94" s="396"/>
      <c r="L94" s="148" t="s">
        <v>96</v>
      </c>
      <c r="P94" s="242"/>
    </row>
    <row r="95" spans="1:16" ht="12.5">
      <c r="C95" s="450" t="s">
        <v>58</v>
      </c>
      <c r="D95" s="452">
        <f>'PSO.WS.G.BPU.ATRR.True-up'!F$93</f>
        <v>41</v>
      </c>
      <c r="E95" s="450" t="s">
        <v>59</v>
      </c>
      <c r="F95" s="448"/>
      <c r="G95" s="448"/>
      <c r="J95" s="454">
        <f>IF(H87="",J94,'PSO.WS.G.BPU.ATRR.True-up'!$F$80)</f>
        <v>0.11379279303146381</v>
      </c>
      <c r="K95" s="294"/>
      <c r="L95" s="347" t="s">
        <v>60</v>
      </c>
      <c r="M95" s="294"/>
      <c r="N95" s="294"/>
      <c r="O95" s="294"/>
      <c r="P95" s="242"/>
    </row>
    <row r="96" spans="1:16" ht="13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37085</v>
      </c>
      <c r="K96" s="347"/>
      <c r="L96" s="347"/>
      <c r="M96" s="347"/>
      <c r="N96" s="347"/>
      <c r="O96" s="347"/>
      <c r="P96" s="242"/>
    </row>
    <row r="97" spans="1:16" ht="39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 ht="12.5">
      <c r="C99" s="472">
        <f>IF(D93= "","-",D93)</f>
        <v>2008</v>
      </c>
      <c r="D99" s="473">
        <v>0</v>
      </c>
      <c r="E99" s="480">
        <v>19125</v>
      </c>
      <c r="F99" s="479">
        <v>1501348</v>
      </c>
      <c r="G99" s="537">
        <v>750764</v>
      </c>
      <c r="H99" s="538">
        <v>138367</v>
      </c>
      <c r="I99" s="539">
        <v>138367</v>
      </c>
      <c r="J99" s="478">
        <f t="shared" ref="J99:J130" si="28">+I99-H99</f>
        <v>0</v>
      </c>
      <c r="K99" s="478"/>
      <c r="L99" s="554">
        <v>138367</v>
      </c>
      <c r="M99" s="477">
        <f t="shared" ref="M99:M130" si="29">IF(L99&lt;&gt;0,+H99-L99,0)</f>
        <v>0</v>
      </c>
      <c r="N99" s="554">
        <v>138367</v>
      </c>
      <c r="O99" s="477">
        <f t="shared" ref="O99:O130" si="30">IF(N99&lt;&gt;0,+I99-N99,0)</f>
        <v>0</v>
      </c>
      <c r="P99" s="477">
        <f t="shared" ref="P99:P130" si="31">+O99-M99</f>
        <v>0</v>
      </c>
    </row>
    <row r="100" spans="1:16" ht="12.5">
      <c r="B100" s="160" t="str">
        <f>IF(D100=F99,"","IU")</f>
        <v>IU</v>
      </c>
      <c r="C100" s="472">
        <f>IF(D93="","-",+C99+1)</f>
        <v>2009</v>
      </c>
      <c r="D100" s="473">
        <v>1501377</v>
      </c>
      <c r="E100" s="480">
        <v>27152</v>
      </c>
      <c r="F100" s="479">
        <v>1474225</v>
      </c>
      <c r="G100" s="479">
        <v>1487801</v>
      </c>
      <c r="H100" s="480">
        <v>244680.82784018715</v>
      </c>
      <c r="I100" s="481">
        <v>244680.82784018715</v>
      </c>
      <c r="J100" s="478">
        <f t="shared" si="28"/>
        <v>0</v>
      </c>
      <c r="K100" s="478"/>
      <c r="L100" s="540">
        <f t="shared" ref="L100:L105" si="32">H100</f>
        <v>244680.82784018715</v>
      </c>
      <c r="M100" s="541">
        <f t="shared" si="29"/>
        <v>0</v>
      </c>
      <c r="N100" s="540">
        <f t="shared" ref="N100:N105" si="33">I100</f>
        <v>244680.82784018715</v>
      </c>
      <c r="O100" s="478">
        <f t="shared" si="30"/>
        <v>0</v>
      </c>
      <c r="P100" s="478">
        <f t="shared" si="31"/>
        <v>0</v>
      </c>
    </row>
    <row r="101" spans="1:16" ht="12.5">
      <c r="B101" s="160" t="str">
        <f t="shared" ref="B101:B154" si="34">IF(D101=F100,"","IU")</f>
        <v/>
      </c>
      <c r="C101" s="472">
        <f>IF(D93="","-",+C100+1)</f>
        <v>2010</v>
      </c>
      <c r="D101" s="473">
        <v>1474225</v>
      </c>
      <c r="E101" s="480">
        <v>29814</v>
      </c>
      <c r="F101" s="479">
        <v>1444411</v>
      </c>
      <c r="G101" s="479">
        <v>1459318</v>
      </c>
      <c r="H101" s="480">
        <v>264494.5477733505</v>
      </c>
      <c r="I101" s="481">
        <v>264494.5477733505</v>
      </c>
      <c r="J101" s="478">
        <f t="shared" si="28"/>
        <v>0</v>
      </c>
      <c r="K101" s="478"/>
      <c r="L101" s="540">
        <f t="shared" si="32"/>
        <v>264494.5477733505</v>
      </c>
      <c r="M101" s="541">
        <f t="shared" si="29"/>
        <v>0</v>
      </c>
      <c r="N101" s="540">
        <f t="shared" si="33"/>
        <v>264494.5477733505</v>
      </c>
      <c r="O101" s="478">
        <f t="shared" si="30"/>
        <v>0</v>
      </c>
      <c r="P101" s="478">
        <f t="shared" si="31"/>
        <v>0</v>
      </c>
    </row>
    <row r="102" spans="1:16" ht="12.5">
      <c r="B102" s="160" t="str">
        <f t="shared" si="34"/>
        <v/>
      </c>
      <c r="C102" s="472">
        <f>IF(D93="","-",+C101+1)</f>
        <v>2011</v>
      </c>
      <c r="D102" s="473">
        <v>1444411</v>
      </c>
      <c r="E102" s="480">
        <v>29240</v>
      </c>
      <c r="F102" s="479">
        <v>1415171</v>
      </c>
      <c r="G102" s="479">
        <v>1429791</v>
      </c>
      <c r="H102" s="480">
        <v>229143.9952359481</v>
      </c>
      <c r="I102" s="481">
        <v>229143.9952359481</v>
      </c>
      <c r="J102" s="478">
        <f t="shared" si="28"/>
        <v>0</v>
      </c>
      <c r="K102" s="478"/>
      <c r="L102" s="540">
        <f t="shared" si="32"/>
        <v>229143.9952359481</v>
      </c>
      <c r="M102" s="541">
        <f t="shared" si="29"/>
        <v>0</v>
      </c>
      <c r="N102" s="540">
        <f t="shared" si="33"/>
        <v>229143.9952359481</v>
      </c>
      <c r="O102" s="478">
        <f t="shared" si="30"/>
        <v>0</v>
      </c>
      <c r="P102" s="478">
        <f t="shared" si="31"/>
        <v>0</v>
      </c>
    </row>
    <row r="103" spans="1:16" ht="12.5">
      <c r="B103" s="160" t="str">
        <f t="shared" si="34"/>
        <v/>
      </c>
      <c r="C103" s="472">
        <f>IF(D93="","-",+C102+1)</f>
        <v>2012</v>
      </c>
      <c r="D103" s="473">
        <v>1415171</v>
      </c>
      <c r="E103" s="480">
        <v>29240</v>
      </c>
      <c r="F103" s="479">
        <v>1385931</v>
      </c>
      <c r="G103" s="479">
        <v>1400551</v>
      </c>
      <c r="H103" s="480">
        <v>230716.93888695308</v>
      </c>
      <c r="I103" s="481">
        <v>230716.93888695308</v>
      </c>
      <c r="J103" s="478">
        <v>0</v>
      </c>
      <c r="K103" s="478"/>
      <c r="L103" s="540">
        <f t="shared" si="32"/>
        <v>230716.93888695308</v>
      </c>
      <c r="M103" s="541">
        <f t="shared" ref="M103:M108" si="35">IF(L103&lt;&gt;0,+H103-L103,0)</f>
        <v>0</v>
      </c>
      <c r="N103" s="540">
        <f t="shared" si="33"/>
        <v>230716.93888695308</v>
      </c>
      <c r="O103" s="478">
        <f t="shared" ref="O103:O108" si="36">IF(N103&lt;&gt;0,+I103-N103,0)</f>
        <v>0</v>
      </c>
      <c r="P103" s="478">
        <f t="shared" ref="P103:P108" si="37">+O103-M103</f>
        <v>0</v>
      </c>
    </row>
    <row r="104" spans="1:16" ht="12.5">
      <c r="B104" s="160" t="str">
        <f t="shared" si="34"/>
        <v/>
      </c>
      <c r="C104" s="472">
        <f>IF(D93="","-",+C103+1)</f>
        <v>2013</v>
      </c>
      <c r="D104" s="473">
        <v>1385931</v>
      </c>
      <c r="E104" s="480">
        <v>29240</v>
      </c>
      <c r="F104" s="479">
        <v>1356691</v>
      </c>
      <c r="G104" s="479">
        <v>1371311</v>
      </c>
      <c r="H104" s="480">
        <v>226625.94850487544</v>
      </c>
      <c r="I104" s="481">
        <v>226625.94850487544</v>
      </c>
      <c r="J104" s="478">
        <v>0</v>
      </c>
      <c r="K104" s="478"/>
      <c r="L104" s="540">
        <f t="shared" si="32"/>
        <v>226625.94850487544</v>
      </c>
      <c r="M104" s="541">
        <f t="shared" si="35"/>
        <v>0</v>
      </c>
      <c r="N104" s="540">
        <f t="shared" si="33"/>
        <v>226625.94850487544</v>
      </c>
      <c r="O104" s="478">
        <f t="shared" si="36"/>
        <v>0</v>
      </c>
      <c r="P104" s="478">
        <f t="shared" si="37"/>
        <v>0</v>
      </c>
    </row>
    <row r="105" spans="1:16" ht="12.5">
      <c r="B105" s="160" t="str">
        <f t="shared" si="34"/>
        <v/>
      </c>
      <c r="C105" s="472">
        <f>IF(D93="","-",+C104+1)</f>
        <v>2014</v>
      </c>
      <c r="D105" s="473">
        <v>1356691</v>
      </c>
      <c r="E105" s="480">
        <v>29240</v>
      </c>
      <c r="F105" s="479">
        <v>1327451</v>
      </c>
      <c r="G105" s="479">
        <v>1342071</v>
      </c>
      <c r="H105" s="480">
        <v>217929.69653942893</v>
      </c>
      <c r="I105" s="481">
        <v>217929.69653942893</v>
      </c>
      <c r="J105" s="478">
        <v>0</v>
      </c>
      <c r="K105" s="478"/>
      <c r="L105" s="540">
        <f t="shared" si="32"/>
        <v>217929.69653942893</v>
      </c>
      <c r="M105" s="541">
        <f t="shared" si="35"/>
        <v>0</v>
      </c>
      <c r="N105" s="540">
        <f t="shared" si="33"/>
        <v>217929.69653942893</v>
      </c>
      <c r="O105" s="478">
        <f t="shared" si="36"/>
        <v>0</v>
      </c>
      <c r="P105" s="478">
        <f t="shared" si="37"/>
        <v>0</v>
      </c>
    </row>
    <row r="106" spans="1:16" ht="12.5">
      <c r="B106" s="160" t="str">
        <f t="shared" si="34"/>
        <v/>
      </c>
      <c r="C106" s="472">
        <f>IF(D93="","-",+C105+1)</f>
        <v>2015</v>
      </c>
      <c r="D106" s="473">
        <v>1327451</v>
      </c>
      <c r="E106" s="480">
        <v>29240</v>
      </c>
      <c r="F106" s="479">
        <v>1298211</v>
      </c>
      <c r="G106" s="479">
        <v>1312831</v>
      </c>
      <c r="H106" s="480">
        <v>208365.23426858318</v>
      </c>
      <c r="I106" s="481">
        <v>208365.23426858318</v>
      </c>
      <c r="J106" s="478">
        <f t="shared" si="28"/>
        <v>0</v>
      </c>
      <c r="K106" s="478"/>
      <c r="L106" s="540">
        <f t="shared" ref="L106:L111" si="38">H106</f>
        <v>208365.23426858318</v>
      </c>
      <c r="M106" s="541">
        <f t="shared" si="35"/>
        <v>0</v>
      </c>
      <c r="N106" s="540">
        <f t="shared" ref="N106:N111" si="39">I106</f>
        <v>208365.23426858318</v>
      </c>
      <c r="O106" s="478">
        <f t="shared" si="36"/>
        <v>0</v>
      </c>
      <c r="P106" s="478">
        <f t="shared" si="37"/>
        <v>0</v>
      </c>
    </row>
    <row r="107" spans="1:16" ht="12.5">
      <c r="B107" s="160" t="str">
        <f t="shared" si="34"/>
        <v/>
      </c>
      <c r="C107" s="472">
        <f>IF(D93="","-",+C106+1)</f>
        <v>2016</v>
      </c>
      <c r="D107" s="473">
        <v>1298211</v>
      </c>
      <c r="E107" s="480">
        <v>33054</v>
      </c>
      <c r="F107" s="479">
        <v>1265157</v>
      </c>
      <c r="G107" s="479">
        <v>1281684</v>
      </c>
      <c r="H107" s="480">
        <v>198283.25268027262</v>
      </c>
      <c r="I107" s="481">
        <v>198283.25268027262</v>
      </c>
      <c r="J107" s="478">
        <f t="shared" si="28"/>
        <v>0</v>
      </c>
      <c r="K107" s="478"/>
      <c r="L107" s="540">
        <f t="shared" si="38"/>
        <v>198283.25268027262</v>
      </c>
      <c r="M107" s="541">
        <f t="shared" si="35"/>
        <v>0</v>
      </c>
      <c r="N107" s="540">
        <f t="shared" si="39"/>
        <v>198283.25268027262</v>
      </c>
      <c r="O107" s="478">
        <f t="shared" si="36"/>
        <v>0</v>
      </c>
      <c r="P107" s="478">
        <f t="shared" si="37"/>
        <v>0</v>
      </c>
    </row>
    <row r="108" spans="1:16" ht="12.5">
      <c r="B108" s="160" t="str">
        <f t="shared" si="34"/>
        <v/>
      </c>
      <c r="C108" s="472">
        <f>IF(D93="","-",+C107+1)</f>
        <v>2017</v>
      </c>
      <c r="D108" s="473">
        <v>1265157</v>
      </c>
      <c r="E108" s="480">
        <v>33054</v>
      </c>
      <c r="F108" s="479">
        <v>1232103</v>
      </c>
      <c r="G108" s="479">
        <v>1248630</v>
      </c>
      <c r="H108" s="480">
        <v>191445.86392166355</v>
      </c>
      <c r="I108" s="481">
        <v>191445.86392166355</v>
      </c>
      <c r="J108" s="478">
        <f t="shared" si="28"/>
        <v>0</v>
      </c>
      <c r="K108" s="478"/>
      <c r="L108" s="540">
        <f t="shared" si="38"/>
        <v>191445.86392166355</v>
      </c>
      <c r="M108" s="541">
        <f t="shared" si="35"/>
        <v>0</v>
      </c>
      <c r="N108" s="540">
        <f t="shared" si="39"/>
        <v>191445.86392166355</v>
      </c>
      <c r="O108" s="478">
        <f t="shared" si="36"/>
        <v>0</v>
      </c>
      <c r="P108" s="478">
        <f t="shared" si="37"/>
        <v>0</v>
      </c>
    </row>
    <row r="109" spans="1:16" ht="12.5">
      <c r="B109" s="160" t="str">
        <f t="shared" si="34"/>
        <v/>
      </c>
      <c r="C109" s="472">
        <f>IF(D93="","-",+C108+1)</f>
        <v>2018</v>
      </c>
      <c r="D109" s="473">
        <v>1232103</v>
      </c>
      <c r="E109" s="480">
        <v>35361</v>
      </c>
      <c r="F109" s="479">
        <v>1196742</v>
      </c>
      <c r="G109" s="479">
        <v>1214422.5</v>
      </c>
      <c r="H109" s="480">
        <v>160125.3839048628</v>
      </c>
      <c r="I109" s="481">
        <v>160125.3839048628</v>
      </c>
      <c r="J109" s="478">
        <f t="shared" si="28"/>
        <v>0</v>
      </c>
      <c r="K109" s="478"/>
      <c r="L109" s="540">
        <f t="shared" si="38"/>
        <v>160125.3839048628</v>
      </c>
      <c r="M109" s="541">
        <f t="shared" ref="M109" si="40">IF(L109&lt;&gt;0,+H109-L109,0)</f>
        <v>0</v>
      </c>
      <c r="N109" s="540">
        <f t="shared" si="39"/>
        <v>160125.3839048628</v>
      </c>
      <c r="O109" s="478">
        <f t="shared" ref="O109" si="41">IF(N109&lt;&gt;0,+I109-N109,0)</f>
        <v>0</v>
      </c>
      <c r="P109" s="478">
        <f t="shared" ref="P109" si="42">+O109-M109</f>
        <v>0</v>
      </c>
    </row>
    <row r="110" spans="1:16" ht="12.5">
      <c r="B110" s="160" t="str">
        <f t="shared" si="34"/>
        <v/>
      </c>
      <c r="C110" s="472">
        <f>IF(D93="","-",+C109+1)</f>
        <v>2019</v>
      </c>
      <c r="D110" s="473">
        <v>1196742</v>
      </c>
      <c r="E110" s="480">
        <v>37085</v>
      </c>
      <c r="F110" s="479">
        <v>1159657</v>
      </c>
      <c r="G110" s="479">
        <v>1178199.5</v>
      </c>
      <c r="H110" s="480">
        <v>158573.89397118561</v>
      </c>
      <c r="I110" s="481">
        <v>158573.89397118561</v>
      </c>
      <c r="J110" s="478">
        <f t="shared" si="28"/>
        <v>0</v>
      </c>
      <c r="K110" s="478"/>
      <c r="L110" s="540">
        <f t="shared" si="38"/>
        <v>158573.89397118561</v>
      </c>
      <c r="M110" s="541">
        <f t="shared" ref="M110:M111" si="43">IF(L110&lt;&gt;0,+H110-L110,0)</f>
        <v>0</v>
      </c>
      <c r="N110" s="540">
        <f t="shared" si="39"/>
        <v>158573.89397118561</v>
      </c>
      <c r="O110" s="478">
        <f t="shared" si="30"/>
        <v>0</v>
      </c>
      <c r="P110" s="478">
        <f t="shared" si="31"/>
        <v>0</v>
      </c>
    </row>
    <row r="111" spans="1:16" ht="12.5">
      <c r="B111" s="160" t="str">
        <f t="shared" si="34"/>
        <v/>
      </c>
      <c r="C111" s="472">
        <f>IF(D93="","-",+C110+1)</f>
        <v>2020</v>
      </c>
      <c r="D111" s="473">
        <v>1159657</v>
      </c>
      <c r="E111" s="480">
        <v>35361</v>
      </c>
      <c r="F111" s="479">
        <v>1124296</v>
      </c>
      <c r="G111" s="479">
        <v>1141976.5</v>
      </c>
      <c r="H111" s="480">
        <v>167027.75084448946</v>
      </c>
      <c r="I111" s="481">
        <v>167027.75084448946</v>
      </c>
      <c r="J111" s="478">
        <f t="shared" si="28"/>
        <v>0</v>
      </c>
      <c r="K111" s="478"/>
      <c r="L111" s="540">
        <f t="shared" si="38"/>
        <v>167027.75084448946</v>
      </c>
      <c r="M111" s="541">
        <f t="shared" si="43"/>
        <v>0</v>
      </c>
      <c r="N111" s="540">
        <f t="shared" si="39"/>
        <v>167027.75084448946</v>
      </c>
      <c r="O111" s="478">
        <f t="shared" si="30"/>
        <v>0</v>
      </c>
      <c r="P111" s="478">
        <f t="shared" si="31"/>
        <v>0</v>
      </c>
    </row>
    <row r="112" spans="1:16" ht="12.5">
      <c r="B112" s="160" t="str">
        <f t="shared" si="34"/>
        <v/>
      </c>
      <c r="C112" s="472">
        <f>IF(D93="","-",+C111+1)</f>
        <v>2021</v>
      </c>
      <c r="D112" s="346">
        <f>IF(F111+SUM(E$99:E111)=D$92,F111,D$92-SUM(E$99:E111))</f>
        <v>1124296</v>
      </c>
      <c r="E112" s="486">
        <f>IF(+J96&lt;F111,J96,D112)</f>
        <v>37085</v>
      </c>
      <c r="F112" s="485">
        <f t="shared" ref="F112:F130" si="44">+D112-E112</f>
        <v>1087211</v>
      </c>
      <c r="G112" s="485">
        <f t="shared" ref="G112:G130" si="45">+(F112+D112)/2</f>
        <v>1105753.5</v>
      </c>
      <c r="H112" s="488">
        <f t="shared" ref="H112:H154" si="46">+J$94*G112+E112</f>
        <v>162911.77916931669</v>
      </c>
      <c r="I112" s="542">
        <f t="shared" ref="I112:I154" si="47">+J$95*G112+E112</f>
        <v>162911.77916931669</v>
      </c>
      <c r="J112" s="478">
        <f t="shared" si="28"/>
        <v>0</v>
      </c>
      <c r="K112" s="478"/>
      <c r="L112" s="487"/>
      <c r="M112" s="478">
        <f t="shared" si="29"/>
        <v>0</v>
      </c>
      <c r="N112" s="487"/>
      <c r="O112" s="478">
        <f t="shared" si="30"/>
        <v>0</v>
      </c>
      <c r="P112" s="478">
        <f t="shared" si="31"/>
        <v>0</v>
      </c>
    </row>
    <row r="113" spans="2:16" ht="12.5">
      <c r="B113" s="160" t="str">
        <f t="shared" si="34"/>
        <v/>
      </c>
      <c r="C113" s="472">
        <f>IF(D93="","-",+C112+1)</f>
        <v>2022</v>
      </c>
      <c r="D113" s="346">
        <f>IF(F112+SUM(E$99:E112)=D$92,F112,D$92-SUM(E$99:E112))</f>
        <v>1087211</v>
      </c>
      <c r="E113" s="486">
        <f>IF(+J96&lt;F112,J96,D113)</f>
        <v>37085</v>
      </c>
      <c r="F113" s="485">
        <f t="shared" si="44"/>
        <v>1050126</v>
      </c>
      <c r="G113" s="485">
        <f t="shared" si="45"/>
        <v>1068668.5</v>
      </c>
      <c r="H113" s="488">
        <f t="shared" si="46"/>
        <v>158691.77343974489</v>
      </c>
      <c r="I113" s="542">
        <f t="shared" si="47"/>
        <v>158691.77343974489</v>
      </c>
      <c r="J113" s="478">
        <f t="shared" si="28"/>
        <v>0</v>
      </c>
      <c r="K113" s="478"/>
      <c r="L113" s="487"/>
      <c r="M113" s="478">
        <f t="shared" si="29"/>
        <v>0</v>
      </c>
      <c r="N113" s="487"/>
      <c r="O113" s="478">
        <f t="shared" si="30"/>
        <v>0</v>
      </c>
      <c r="P113" s="478">
        <f t="shared" si="31"/>
        <v>0</v>
      </c>
    </row>
    <row r="114" spans="2:16" ht="12.5">
      <c r="B114" s="160" t="str">
        <f t="shared" si="34"/>
        <v/>
      </c>
      <c r="C114" s="472">
        <f>IF(D93="","-",+C113+1)</f>
        <v>2023</v>
      </c>
      <c r="D114" s="346">
        <f>IF(F113+SUM(E$99:E113)=D$92,F113,D$92-SUM(E$99:E113))</f>
        <v>1050126</v>
      </c>
      <c r="E114" s="486">
        <f>IF(+J96&lt;F113,J96,D114)</f>
        <v>37085</v>
      </c>
      <c r="F114" s="485">
        <f t="shared" si="44"/>
        <v>1013041</v>
      </c>
      <c r="G114" s="485">
        <f t="shared" si="45"/>
        <v>1031583.5</v>
      </c>
      <c r="H114" s="488">
        <f t="shared" si="46"/>
        <v>154471.76771017304</v>
      </c>
      <c r="I114" s="542">
        <f t="shared" si="47"/>
        <v>154471.76771017304</v>
      </c>
      <c r="J114" s="478">
        <f t="shared" si="28"/>
        <v>0</v>
      </c>
      <c r="K114" s="478"/>
      <c r="L114" s="487"/>
      <c r="M114" s="478">
        <f t="shared" si="29"/>
        <v>0</v>
      </c>
      <c r="N114" s="487"/>
      <c r="O114" s="478">
        <f t="shared" si="30"/>
        <v>0</v>
      </c>
      <c r="P114" s="478">
        <f t="shared" si="31"/>
        <v>0</v>
      </c>
    </row>
    <row r="115" spans="2:16" ht="12.5">
      <c r="B115" s="160" t="str">
        <f t="shared" si="34"/>
        <v/>
      </c>
      <c r="C115" s="472">
        <f>IF(D93="","-",+C114+1)</f>
        <v>2024</v>
      </c>
      <c r="D115" s="346">
        <f>IF(F114+SUM(E$99:E114)=D$92,F114,D$92-SUM(E$99:E114))</f>
        <v>1013041</v>
      </c>
      <c r="E115" s="486">
        <f>IF(+J96&lt;F114,J96,D115)</f>
        <v>37085</v>
      </c>
      <c r="F115" s="485">
        <f t="shared" si="44"/>
        <v>975956</v>
      </c>
      <c r="G115" s="485">
        <f t="shared" si="45"/>
        <v>994498.5</v>
      </c>
      <c r="H115" s="488">
        <f t="shared" si="46"/>
        <v>150251.76198060121</v>
      </c>
      <c r="I115" s="542">
        <f t="shared" si="47"/>
        <v>150251.76198060121</v>
      </c>
      <c r="J115" s="478">
        <f t="shared" si="28"/>
        <v>0</v>
      </c>
      <c r="K115" s="478"/>
      <c r="L115" s="487"/>
      <c r="M115" s="478">
        <f t="shared" si="29"/>
        <v>0</v>
      </c>
      <c r="N115" s="487"/>
      <c r="O115" s="478">
        <f t="shared" si="30"/>
        <v>0</v>
      </c>
      <c r="P115" s="478">
        <f t="shared" si="31"/>
        <v>0</v>
      </c>
    </row>
    <row r="116" spans="2:16" ht="12.5">
      <c r="B116" s="160" t="str">
        <f t="shared" si="34"/>
        <v/>
      </c>
      <c r="C116" s="472">
        <f>IF(D93="","-",+C115+1)</f>
        <v>2025</v>
      </c>
      <c r="D116" s="346">
        <f>IF(F115+SUM(E$99:E115)=D$92,F115,D$92-SUM(E$99:E115))</f>
        <v>975956</v>
      </c>
      <c r="E116" s="486">
        <f>IF(+J96&lt;F115,J96,D116)</f>
        <v>37085</v>
      </c>
      <c r="F116" s="485">
        <f t="shared" si="44"/>
        <v>938871</v>
      </c>
      <c r="G116" s="485">
        <f t="shared" si="45"/>
        <v>957413.5</v>
      </c>
      <c r="H116" s="488">
        <f t="shared" si="46"/>
        <v>146031.75625102938</v>
      </c>
      <c r="I116" s="542">
        <f t="shared" si="47"/>
        <v>146031.75625102938</v>
      </c>
      <c r="J116" s="478">
        <f t="shared" si="28"/>
        <v>0</v>
      </c>
      <c r="K116" s="478"/>
      <c r="L116" s="487"/>
      <c r="M116" s="478">
        <f t="shared" si="29"/>
        <v>0</v>
      </c>
      <c r="N116" s="487"/>
      <c r="O116" s="478">
        <f t="shared" si="30"/>
        <v>0</v>
      </c>
      <c r="P116" s="478">
        <f t="shared" si="31"/>
        <v>0</v>
      </c>
    </row>
    <row r="117" spans="2:16" ht="12.5">
      <c r="B117" s="160" t="str">
        <f t="shared" si="34"/>
        <v/>
      </c>
      <c r="C117" s="472">
        <f>IF(D93="","-",+C116+1)</f>
        <v>2026</v>
      </c>
      <c r="D117" s="346">
        <f>IF(F116+SUM(E$99:E116)=D$92,F116,D$92-SUM(E$99:E116))</f>
        <v>938871</v>
      </c>
      <c r="E117" s="486">
        <f>IF(+J96&lt;F116,J96,D117)</f>
        <v>37085</v>
      </c>
      <c r="F117" s="485">
        <f t="shared" si="44"/>
        <v>901786</v>
      </c>
      <c r="G117" s="485">
        <f t="shared" si="45"/>
        <v>920328.5</v>
      </c>
      <c r="H117" s="488">
        <f t="shared" si="46"/>
        <v>141811.75052145752</v>
      </c>
      <c r="I117" s="542">
        <f t="shared" si="47"/>
        <v>141811.75052145752</v>
      </c>
      <c r="J117" s="478">
        <f t="shared" si="28"/>
        <v>0</v>
      </c>
      <c r="K117" s="478"/>
      <c r="L117" s="487"/>
      <c r="M117" s="478">
        <f t="shared" si="29"/>
        <v>0</v>
      </c>
      <c r="N117" s="487"/>
      <c r="O117" s="478">
        <f t="shared" si="30"/>
        <v>0</v>
      </c>
      <c r="P117" s="478">
        <f t="shared" si="31"/>
        <v>0</v>
      </c>
    </row>
    <row r="118" spans="2:16" ht="12.5">
      <c r="B118" s="160" t="str">
        <f t="shared" si="34"/>
        <v/>
      </c>
      <c r="C118" s="472">
        <f>IF(D93="","-",+C117+1)</f>
        <v>2027</v>
      </c>
      <c r="D118" s="346">
        <f>IF(F117+SUM(E$99:E117)=D$92,F117,D$92-SUM(E$99:E117))</f>
        <v>901786</v>
      </c>
      <c r="E118" s="486">
        <f>IF(+J96&lt;F117,J96,D118)</f>
        <v>37085</v>
      </c>
      <c r="F118" s="485">
        <f t="shared" si="44"/>
        <v>864701</v>
      </c>
      <c r="G118" s="485">
        <f t="shared" si="45"/>
        <v>883243.5</v>
      </c>
      <c r="H118" s="488">
        <f t="shared" si="46"/>
        <v>137591.74479188572</v>
      </c>
      <c r="I118" s="542">
        <f t="shared" si="47"/>
        <v>137591.74479188572</v>
      </c>
      <c r="J118" s="478">
        <f t="shared" si="28"/>
        <v>0</v>
      </c>
      <c r="K118" s="478"/>
      <c r="L118" s="487"/>
      <c r="M118" s="478">
        <f t="shared" si="29"/>
        <v>0</v>
      </c>
      <c r="N118" s="487"/>
      <c r="O118" s="478">
        <f t="shared" si="30"/>
        <v>0</v>
      </c>
      <c r="P118" s="478">
        <f t="shared" si="31"/>
        <v>0</v>
      </c>
    </row>
    <row r="119" spans="2:16" ht="12.5">
      <c r="B119" s="160" t="str">
        <f t="shared" si="34"/>
        <v/>
      </c>
      <c r="C119" s="472">
        <f>IF(D93="","-",+C118+1)</f>
        <v>2028</v>
      </c>
      <c r="D119" s="346">
        <f>IF(F118+SUM(E$99:E118)=D$92,F118,D$92-SUM(E$99:E118))</f>
        <v>864701</v>
      </c>
      <c r="E119" s="486">
        <f>IF(+J96&lt;F118,J96,D119)</f>
        <v>37085</v>
      </c>
      <c r="F119" s="485">
        <f t="shared" si="44"/>
        <v>827616</v>
      </c>
      <c r="G119" s="485">
        <f t="shared" si="45"/>
        <v>846158.5</v>
      </c>
      <c r="H119" s="488">
        <f t="shared" si="46"/>
        <v>133371.73906231386</v>
      </c>
      <c r="I119" s="542">
        <f t="shared" si="47"/>
        <v>133371.73906231386</v>
      </c>
      <c r="J119" s="478">
        <f t="shared" si="28"/>
        <v>0</v>
      </c>
      <c r="K119" s="478"/>
      <c r="L119" s="487"/>
      <c r="M119" s="478">
        <f t="shared" si="29"/>
        <v>0</v>
      </c>
      <c r="N119" s="487"/>
      <c r="O119" s="478">
        <f t="shared" si="30"/>
        <v>0</v>
      </c>
      <c r="P119" s="478">
        <f t="shared" si="31"/>
        <v>0</v>
      </c>
    </row>
    <row r="120" spans="2:16" ht="12.5">
      <c r="B120" s="160" t="str">
        <f t="shared" si="34"/>
        <v/>
      </c>
      <c r="C120" s="472">
        <f>IF(D93="","-",+C119+1)</f>
        <v>2029</v>
      </c>
      <c r="D120" s="346">
        <f>IF(F119+SUM(E$99:E119)=D$92,F119,D$92-SUM(E$99:E119))</f>
        <v>827616</v>
      </c>
      <c r="E120" s="486">
        <f>IF(+J96&lt;F119,J96,D120)</f>
        <v>37085</v>
      </c>
      <c r="F120" s="485">
        <f t="shared" si="44"/>
        <v>790531</v>
      </c>
      <c r="G120" s="485">
        <f t="shared" si="45"/>
        <v>809073.5</v>
      </c>
      <c r="H120" s="488">
        <f t="shared" si="46"/>
        <v>129151.73333274203</v>
      </c>
      <c r="I120" s="542">
        <f t="shared" si="47"/>
        <v>129151.73333274203</v>
      </c>
      <c r="J120" s="478">
        <f t="shared" si="28"/>
        <v>0</v>
      </c>
      <c r="K120" s="478"/>
      <c r="L120" s="487"/>
      <c r="M120" s="478">
        <f t="shared" si="29"/>
        <v>0</v>
      </c>
      <c r="N120" s="487"/>
      <c r="O120" s="478">
        <f t="shared" si="30"/>
        <v>0</v>
      </c>
      <c r="P120" s="478">
        <f t="shared" si="31"/>
        <v>0</v>
      </c>
    </row>
    <row r="121" spans="2:16" ht="12.5">
      <c r="B121" s="160" t="str">
        <f t="shared" si="34"/>
        <v/>
      </c>
      <c r="C121" s="472">
        <f>IF(D93="","-",+C120+1)</f>
        <v>2030</v>
      </c>
      <c r="D121" s="346">
        <f>IF(F120+SUM(E$99:E120)=D$92,F120,D$92-SUM(E$99:E120))</f>
        <v>790531</v>
      </c>
      <c r="E121" s="486">
        <f>IF(+J96&lt;F120,J96,D121)</f>
        <v>37085</v>
      </c>
      <c r="F121" s="485">
        <f t="shared" si="44"/>
        <v>753446</v>
      </c>
      <c r="G121" s="485">
        <f t="shared" si="45"/>
        <v>771988.5</v>
      </c>
      <c r="H121" s="488">
        <f t="shared" si="46"/>
        <v>124931.72760317019</v>
      </c>
      <c r="I121" s="542">
        <f t="shared" si="47"/>
        <v>124931.72760317019</v>
      </c>
      <c r="J121" s="478">
        <f t="shared" si="28"/>
        <v>0</v>
      </c>
      <c r="K121" s="478"/>
      <c r="L121" s="487"/>
      <c r="M121" s="478">
        <f t="shared" si="29"/>
        <v>0</v>
      </c>
      <c r="N121" s="487"/>
      <c r="O121" s="478">
        <f t="shared" si="30"/>
        <v>0</v>
      </c>
      <c r="P121" s="478">
        <f t="shared" si="31"/>
        <v>0</v>
      </c>
    </row>
    <row r="122" spans="2:16" ht="12.5">
      <c r="B122" s="160" t="str">
        <f t="shared" si="34"/>
        <v/>
      </c>
      <c r="C122" s="472">
        <f>IF(D93="","-",+C121+1)</f>
        <v>2031</v>
      </c>
      <c r="D122" s="346">
        <f>IF(F121+SUM(E$99:E121)=D$92,F121,D$92-SUM(E$99:E121))</f>
        <v>753446</v>
      </c>
      <c r="E122" s="486">
        <f>IF(+J96&lt;F121,J96,D122)</f>
        <v>37085</v>
      </c>
      <c r="F122" s="485">
        <f t="shared" si="44"/>
        <v>716361</v>
      </c>
      <c r="G122" s="485">
        <f t="shared" si="45"/>
        <v>734903.5</v>
      </c>
      <c r="H122" s="488">
        <f t="shared" si="46"/>
        <v>120711.72187359836</v>
      </c>
      <c r="I122" s="542">
        <f t="shared" si="47"/>
        <v>120711.72187359836</v>
      </c>
      <c r="J122" s="478">
        <f t="shared" si="28"/>
        <v>0</v>
      </c>
      <c r="K122" s="478"/>
      <c r="L122" s="487"/>
      <c r="M122" s="478">
        <f t="shared" si="29"/>
        <v>0</v>
      </c>
      <c r="N122" s="487"/>
      <c r="O122" s="478">
        <f t="shared" si="30"/>
        <v>0</v>
      </c>
      <c r="P122" s="478">
        <f t="shared" si="31"/>
        <v>0</v>
      </c>
    </row>
    <row r="123" spans="2:16" ht="12.5">
      <c r="B123" s="160" t="str">
        <f t="shared" si="34"/>
        <v/>
      </c>
      <c r="C123" s="472">
        <f>IF(D93="","-",+C122+1)</f>
        <v>2032</v>
      </c>
      <c r="D123" s="346">
        <f>IF(F122+SUM(E$99:E122)=D$92,F122,D$92-SUM(E$99:E122))</f>
        <v>716361</v>
      </c>
      <c r="E123" s="486">
        <f>IF(+J96&lt;F122,J96,D123)</f>
        <v>37085</v>
      </c>
      <c r="F123" s="485">
        <f t="shared" si="44"/>
        <v>679276</v>
      </c>
      <c r="G123" s="485">
        <f t="shared" si="45"/>
        <v>697818.5</v>
      </c>
      <c r="H123" s="488">
        <f t="shared" si="46"/>
        <v>116491.71614402653</v>
      </c>
      <c r="I123" s="542">
        <f t="shared" si="47"/>
        <v>116491.71614402653</v>
      </c>
      <c r="J123" s="478">
        <f t="shared" si="28"/>
        <v>0</v>
      </c>
      <c r="K123" s="478"/>
      <c r="L123" s="487"/>
      <c r="M123" s="478">
        <f t="shared" si="29"/>
        <v>0</v>
      </c>
      <c r="N123" s="487"/>
      <c r="O123" s="478">
        <f t="shared" si="30"/>
        <v>0</v>
      </c>
      <c r="P123" s="478">
        <f t="shared" si="31"/>
        <v>0</v>
      </c>
    </row>
    <row r="124" spans="2:16" ht="12.5">
      <c r="B124" s="160" t="str">
        <f t="shared" si="34"/>
        <v/>
      </c>
      <c r="C124" s="472">
        <f>IF(D93="","-",+C123+1)</f>
        <v>2033</v>
      </c>
      <c r="D124" s="346">
        <f>IF(F123+SUM(E$99:E123)=D$92,F123,D$92-SUM(E$99:E123))</f>
        <v>679276</v>
      </c>
      <c r="E124" s="486">
        <f>IF(+J96&lt;F123,J96,D124)</f>
        <v>37085</v>
      </c>
      <c r="F124" s="485">
        <f t="shared" si="44"/>
        <v>642191</v>
      </c>
      <c r="G124" s="485">
        <f t="shared" si="45"/>
        <v>660733.5</v>
      </c>
      <c r="H124" s="488">
        <f t="shared" si="46"/>
        <v>112271.71041445469</v>
      </c>
      <c r="I124" s="542">
        <f t="shared" si="47"/>
        <v>112271.71041445469</v>
      </c>
      <c r="J124" s="478">
        <f t="shared" si="28"/>
        <v>0</v>
      </c>
      <c r="K124" s="478"/>
      <c r="L124" s="487"/>
      <c r="M124" s="478">
        <f t="shared" si="29"/>
        <v>0</v>
      </c>
      <c r="N124" s="487"/>
      <c r="O124" s="478">
        <f t="shared" si="30"/>
        <v>0</v>
      </c>
      <c r="P124" s="478">
        <f t="shared" si="31"/>
        <v>0</v>
      </c>
    </row>
    <row r="125" spans="2:16" ht="12.5">
      <c r="B125" s="160" t="str">
        <f t="shared" si="34"/>
        <v/>
      </c>
      <c r="C125" s="472">
        <f>IF(D93="","-",+C124+1)</f>
        <v>2034</v>
      </c>
      <c r="D125" s="346">
        <f>IF(F124+SUM(E$99:E124)=D$92,F124,D$92-SUM(E$99:E124))</f>
        <v>642191</v>
      </c>
      <c r="E125" s="486">
        <f>IF(+J96&lt;F124,J96,D125)</f>
        <v>37085</v>
      </c>
      <c r="F125" s="485">
        <f t="shared" si="44"/>
        <v>605106</v>
      </c>
      <c r="G125" s="485">
        <f t="shared" si="45"/>
        <v>623648.5</v>
      </c>
      <c r="H125" s="488">
        <f t="shared" si="46"/>
        <v>108051.70468488286</v>
      </c>
      <c r="I125" s="542">
        <f t="shared" si="47"/>
        <v>108051.70468488286</v>
      </c>
      <c r="J125" s="478">
        <f t="shared" si="28"/>
        <v>0</v>
      </c>
      <c r="K125" s="478"/>
      <c r="L125" s="487"/>
      <c r="M125" s="478">
        <f t="shared" si="29"/>
        <v>0</v>
      </c>
      <c r="N125" s="487"/>
      <c r="O125" s="478">
        <f t="shared" si="30"/>
        <v>0</v>
      </c>
      <c r="P125" s="478">
        <f t="shared" si="31"/>
        <v>0</v>
      </c>
    </row>
    <row r="126" spans="2:16" ht="12.5">
      <c r="B126" s="160" t="str">
        <f t="shared" si="34"/>
        <v/>
      </c>
      <c r="C126" s="472">
        <f>IF(D93="","-",+C125+1)</f>
        <v>2035</v>
      </c>
      <c r="D126" s="346">
        <f>IF(F125+SUM(E$99:E125)=D$92,F125,D$92-SUM(E$99:E125))</f>
        <v>605106</v>
      </c>
      <c r="E126" s="486">
        <f>IF(+J96&lt;F125,J96,D126)</f>
        <v>37085</v>
      </c>
      <c r="F126" s="485">
        <f t="shared" si="44"/>
        <v>568021</v>
      </c>
      <c r="G126" s="485">
        <f t="shared" si="45"/>
        <v>586563.5</v>
      </c>
      <c r="H126" s="488">
        <f t="shared" si="46"/>
        <v>103831.69895531102</v>
      </c>
      <c r="I126" s="542">
        <f t="shared" si="47"/>
        <v>103831.69895531102</v>
      </c>
      <c r="J126" s="478">
        <f t="shared" si="28"/>
        <v>0</v>
      </c>
      <c r="K126" s="478"/>
      <c r="L126" s="487"/>
      <c r="M126" s="478">
        <f t="shared" si="29"/>
        <v>0</v>
      </c>
      <c r="N126" s="487"/>
      <c r="O126" s="478">
        <f t="shared" si="30"/>
        <v>0</v>
      </c>
      <c r="P126" s="478">
        <f t="shared" si="31"/>
        <v>0</v>
      </c>
    </row>
    <row r="127" spans="2:16" ht="12.5">
      <c r="B127" s="160" t="str">
        <f t="shared" si="34"/>
        <v/>
      </c>
      <c r="C127" s="472">
        <f>IF(D93="","-",+C126+1)</f>
        <v>2036</v>
      </c>
      <c r="D127" s="346">
        <f>IF(F126+SUM(E$99:E126)=D$92,F126,D$92-SUM(E$99:E126))</f>
        <v>568021</v>
      </c>
      <c r="E127" s="486">
        <f>IF(+J96&lt;F126,J96,D127)</f>
        <v>37085</v>
      </c>
      <c r="F127" s="485">
        <f t="shared" si="44"/>
        <v>530936</v>
      </c>
      <c r="G127" s="485">
        <f t="shared" si="45"/>
        <v>549478.5</v>
      </c>
      <c r="H127" s="488">
        <f t="shared" si="46"/>
        <v>99611.693225739189</v>
      </c>
      <c r="I127" s="542">
        <f t="shared" si="47"/>
        <v>99611.693225739189</v>
      </c>
      <c r="J127" s="478">
        <f t="shared" si="28"/>
        <v>0</v>
      </c>
      <c r="K127" s="478"/>
      <c r="L127" s="487"/>
      <c r="M127" s="478">
        <f t="shared" si="29"/>
        <v>0</v>
      </c>
      <c r="N127" s="487"/>
      <c r="O127" s="478">
        <f t="shared" si="30"/>
        <v>0</v>
      </c>
      <c r="P127" s="478">
        <f t="shared" si="31"/>
        <v>0</v>
      </c>
    </row>
    <row r="128" spans="2:16" ht="12.5">
      <c r="B128" s="160" t="str">
        <f t="shared" si="34"/>
        <v/>
      </c>
      <c r="C128" s="472">
        <f>IF(D93="","-",+C127+1)</f>
        <v>2037</v>
      </c>
      <c r="D128" s="346">
        <f>IF(F127+SUM(E$99:E127)=D$92,F127,D$92-SUM(E$99:E127))</f>
        <v>530936</v>
      </c>
      <c r="E128" s="486">
        <f>IF(+J96&lt;F127,J96,D128)</f>
        <v>37085</v>
      </c>
      <c r="F128" s="485">
        <f t="shared" si="44"/>
        <v>493851</v>
      </c>
      <c r="G128" s="485">
        <f t="shared" si="45"/>
        <v>512393.5</v>
      </c>
      <c r="H128" s="488">
        <f t="shared" si="46"/>
        <v>95391.687496167346</v>
      </c>
      <c r="I128" s="542">
        <f t="shared" si="47"/>
        <v>95391.687496167346</v>
      </c>
      <c r="J128" s="478">
        <f t="shared" si="28"/>
        <v>0</v>
      </c>
      <c r="K128" s="478"/>
      <c r="L128" s="487"/>
      <c r="M128" s="478">
        <f t="shared" si="29"/>
        <v>0</v>
      </c>
      <c r="N128" s="487"/>
      <c r="O128" s="478">
        <f t="shared" si="30"/>
        <v>0</v>
      </c>
      <c r="P128" s="478">
        <f t="shared" si="31"/>
        <v>0</v>
      </c>
    </row>
    <row r="129" spans="2:16" ht="12.5">
      <c r="B129" s="160" t="str">
        <f t="shared" si="34"/>
        <v/>
      </c>
      <c r="C129" s="472">
        <f>IF(D93="","-",+C128+1)</f>
        <v>2038</v>
      </c>
      <c r="D129" s="346">
        <f>IF(F128+SUM(E$99:E128)=D$92,F128,D$92-SUM(E$99:E128))</f>
        <v>493851</v>
      </c>
      <c r="E129" s="486">
        <f>IF(+J96&lt;F128,J96,D129)</f>
        <v>37085</v>
      </c>
      <c r="F129" s="485">
        <f t="shared" si="44"/>
        <v>456766</v>
      </c>
      <c r="G129" s="485">
        <f t="shared" si="45"/>
        <v>475308.5</v>
      </c>
      <c r="H129" s="488">
        <f t="shared" si="46"/>
        <v>91171.681766595517</v>
      </c>
      <c r="I129" s="542">
        <f t="shared" si="47"/>
        <v>91171.681766595517</v>
      </c>
      <c r="J129" s="478">
        <f t="shared" si="28"/>
        <v>0</v>
      </c>
      <c r="K129" s="478"/>
      <c r="L129" s="487"/>
      <c r="M129" s="478">
        <f t="shared" si="29"/>
        <v>0</v>
      </c>
      <c r="N129" s="487"/>
      <c r="O129" s="478">
        <f t="shared" si="30"/>
        <v>0</v>
      </c>
      <c r="P129" s="478">
        <f t="shared" si="31"/>
        <v>0</v>
      </c>
    </row>
    <row r="130" spans="2:16" ht="12.5">
      <c r="B130" s="160" t="str">
        <f t="shared" si="34"/>
        <v/>
      </c>
      <c r="C130" s="472">
        <f>IF(D93="","-",+C129+1)</f>
        <v>2039</v>
      </c>
      <c r="D130" s="346">
        <f>IF(F129+SUM(E$99:E129)=D$92,F129,D$92-SUM(E$99:E129))</f>
        <v>456766</v>
      </c>
      <c r="E130" s="486">
        <f>IF(+J96&lt;F129,J96,D130)</f>
        <v>37085</v>
      </c>
      <c r="F130" s="485">
        <f t="shared" si="44"/>
        <v>419681</v>
      </c>
      <c r="G130" s="485">
        <f t="shared" si="45"/>
        <v>438223.5</v>
      </c>
      <c r="H130" s="488">
        <f t="shared" si="46"/>
        <v>86951.676037023688</v>
      </c>
      <c r="I130" s="542">
        <f t="shared" si="47"/>
        <v>86951.676037023688</v>
      </c>
      <c r="J130" s="478">
        <f t="shared" si="28"/>
        <v>0</v>
      </c>
      <c r="K130" s="478"/>
      <c r="L130" s="487"/>
      <c r="M130" s="478">
        <f t="shared" si="29"/>
        <v>0</v>
      </c>
      <c r="N130" s="487"/>
      <c r="O130" s="478">
        <f t="shared" si="30"/>
        <v>0</v>
      </c>
      <c r="P130" s="478">
        <f t="shared" si="31"/>
        <v>0</v>
      </c>
    </row>
    <row r="131" spans="2:16" ht="12.5">
      <c r="B131" s="160" t="str">
        <f t="shared" si="34"/>
        <v/>
      </c>
      <c r="C131" s="472">
        <f>IF(D93="","-",+C130+1)</f>
        <v>2040</v>
      </c>
      <c r="D131" s="346">
        <f>IF(F130+SUM(E$99:E130)=D$92,F130,D$92-SUM(E$99:E130))</f>
        <v>419681</v>
      </c>
      <c r="E131" s="486">
        <f>IF(+J96&lt;F130,J96,D131)</f>
        <v>37085</v>
      </c>
      <c r="F131" s="485">
        <f t="shared" ref="F131:F154" si="48">+D131-E131</f>
        <v>382596</v>
      </c>
      <c r="G131" s="485">
        <f t="shared" ref="G131:G154" si="49">+(F131+D131)/2</f>
        <v>401138.5</v>
      </c>
      <c r="H131" s="488">
        <f t="shared" si="46"/>
        <v>82731.670307451845</v>
      </c>
      <c r="I131" s="542">
        <f t="shared" si="47"/>
        <v>82731.670307451845</v>
      </c>
      <c r="J131" s="478">
        <f t="shared" ref="J131:J154" si="50">+I131-H131</f>
        <v>0</v>
      </c>
      <c r="K131" s="478"/>
      <c r="L131" s="487"/>
      <c r="M131" s="478">
        <f t="shared" ref="M131:M154" si="51">IF(L131&lt;&gt;0,+H131-L131,0)</f>
        <v>0</v>
      </c>
      <c r="N131" s="487"/>
      <c r="O131" s="478">
        <f t="shared" ref="O131:O154" si="52">IF(N131&lt;&gt;0,+I131-N131,0)</f>
        <v>0</v>
      </c>
      <c r="P131" s="478">
        <f t="shared" ref="P131:P154" si="53">+O131-M131</f>
        <v>0</v>
      </c>
    </row>
    <row r="132" spans="2:16" ht="12.5">
      <c r="B132" s="160" t="str">
        <f t="shared" si="34"/>
        <v/>
      </c>
      <c r="C132" s="472">
        <f>IF(D93="","-",+C131+1)</f>
        <v>2041</v>
      </c>
      <c r="D132" s="346">
        <f>IF(F131+SUM(E$99:E131)=D$92,F131,D$92-SUM(E$99:E131))</f>
        <v>382596</v>
      </c>
      <c r="E132" s="486">
        <f>IF(+J96&lt;F131,J96,D132)</f>
        <v>37085</v>
      </c>
      <c r="F132" s="485">
        <f t="shared" si="48"/>
        <v>345511</v>
      </c>
      <c r="G132" s="485">
        <f t="shared" si="49"/>
        <v>364053.5</v>
      </c>
      <c r="H132" s="488">
        <f t="shared" si="46"/>
        <v>78511.664577880001</v>
      </c>
      <c r="I132" s="542">
        <f t="shared" si="47"/>
        <v>78511.664577880001</v>
      </c>
      <c r="J132" s="478">
        <f t="shared" si="50"/>
        <v>0</v>
      </c>
      <c r="K132" s="478"/>
      <c r="L132" s="487"/>
      <c r="M132" s="478">
        <f t="shared" si="51"/>
        <v>0</v>
      </c>
      <c r="N132" s="487"/>
      <c r="O132" s="478">
        <f t="shared" si="52"/>
        <v>0</v>
      </c>
      <c r="P132" s="478">
        <f t="shared" si="53"/>
        <v>0</v>
      </c>
    </row>
    <row r="133" spans="2:16" ht="12.5">
      <c r="B133" s="160" t="str">
        <f t="shared" si="34"/>
        <v/>
      </c>
      <c r="C133" s="472">
        <f>IF(D93="","-",+C132+1)</f>
        <v>2042</v>
      </c>
      <c r="D133" s="346">
        <f>IF(F132+SUM(E$99:E132)=D$92,F132,D$92-SUM(E$99:E132))</f>
        <v>345511</v>
      </c>
      <c r="E133" s="486">
        <f>IF(+J96&lt;F132,J96,D133)</f>
        <v>37085</v>
      </c>
      <c r="F133" s="485">
        <f t="shared" si="48"/>
        <v>308426</v>
      </c>
      <c r="G133" s="485">
        <f t="shared" si="49"/>
        <v>326968.5</v>
      </c>
      <c r="H133" s="488">
        <f t="shared" si="46"/>
        <v>74291.658848308172</v>
      </c>
      <c r="I133" s="542">
        <f t="shared" si="47"/>
        <v>74291.658848308172</v>
      </c>
      <c r="J133" s="478">
        <f t="shared" si="50"/>
        <v>0</v>
      </c>
      <c r="K133" s="478"/>
      <c r="L133" s="487"/>
      <c r="M133" s="478">
        <f t="shared" si="51"/>
        <v>0</v>
      </c>
      <c r="N133" s="487"/>
      <c r="O133" s="478">
        <f t="shared" si="52"/>
        <v>0</v>
      </c>
      <c r="P133" s="478">
        <f t="shared" si="53"/>
        <v>0</v>
      </c>
    </row>
    <row r="134" spans="2:16" ht="12.5">
      <c r="B134" s="160" t="str">
        <f t="shared" si="34"/>
        <v/>
      </c>
      <c r="C134" s="472">
        <f>IF(D93="","-",+C133+1)</f>
        <v>2043</v>
      </c>
      <c r="D134" s="346">
        <f>IF(F133+SUM(E$99:E133)=D$92,F133,D$92-SUM(E$99:E133))</f>
        <v>308426</v>
      </c>
      <c r="E134" s="486">
        <f>IF(+J96&lt;F133,J96,D134)</f>
        <v>37085</v>
      </c>
      <c r="F134" s="485">
        <f t="shared" si="48"/>
        <v>271341</v>
      </c>
      <c r="G134" s="485">
        <f t="shared" si="49"/>
        <v>289883.5</v>
      </c>
      <c r="H134" s="488">
        <f t="shared" si="46"/>
        <v>70071.653118736343</v>
      </c>
      <c r="I134" s="542">
        <f t="shared" si="47"/>
        <v>70071.653118736343</v>
      </c>
      <c r="J134" s="478">
        <f t="shared" si="50"/>
        <v>0</v>
      </c>
      <c r="K134" s="478"/>
      <c r="L134" s="487"/>
      <c r="M134" s="478">
        <f t="shared" si="51"/>
        <v>0</v>
      </c>
      <c r="N134" s="487"/>
      <c r="O134" s="478">
        <f t="shared" si="52"/>
        <v>0</v>
      </c>
      <c r="P134" s="478">
        <f t="shared" si="53"/>
        <v>0</v>
      </c>
    </row>
    <row r="135" spans="2:16" ht="12.5">
      <c r="B135" s="160" t="str">
        <f t="shared" si="34"/>
        <v/>
      </c>
      <c r="C135" s="472">
        <f>IF(D93="","-",+C134+1)</f>
        <v>2044</v>
      </c>
      <c r="D135" s="346">
        <f>IF(F134+SUM(E$99:E134)=D$92,F134,D$92-SUM(E$99:E134))</f>
        <v>271341</v>
      </c>
      <c r="E135" s="486">
        <f>IF(+J96&lt;F134,J96,D135)</f>
        <v>37085</v>
      </c>
      <c r="F135" s="485">
        <f t="shared" si="48"/>
        <v>234256</v>
      </c>
      <c r="G135" s="485">
        <f t="shared" si="49"/>
        <v>252798.5</v>
      </c>
      <c r="H135" s="488">
        <f t="shared" si="46"/>
        <v>65851.6473891645</v>
      </c>
      <c r="I135" s="542">
        <f t="shared" si="47"/>
        <v>65851.6473891645</v>
      </c>
      <c r="J135" s="478">
        <f t="shared" si="50"/>
        <v>0</v>
      </c>
      <c r="K135" s="478"/>
      <c r="L135" s="487"/>
      <c r="M135" s="478">
        <f t="shared" si="51"/>
        <v>0</v>
      </c>
      <c r="N135" s="487"/>
      <c r="O135" s="478">
        <f t="shared" si="52"/>
        <v>0</v>
      </c>
      <c r="P135" s="478">
        <f t="shared" si="53"/>
        <v>0</v>
      </c>
    </row>
    <row r="136" spans="2:16" ht="12.5">
      <c r="B136" s="160" t="str">
        <f t="shared" si="34"/>
        <v/>
      </c>
      <c r="C136" s="472">
        <f>IF(D93="","-",+C135+1)</f>
        <v>2045</v>
      </c>
      <c r="D136" s="346">
        <f>IF(F135+SUM(E$99:E135)=D$92,F135,D$92-SUM(E$99:E135))</f>
        <v>234256</v>
      </c>
      <c r="E136" s="486">
        <f>IF(+J96&lt;F135,J96,D136)</f>
        <v>37085</v>
      </c>
      <c r="F136" s="485">
        <f t="shared" si="48"/>
        <v>197171</v>
      </c>
      <c r="G136" s="485">
        <f t="shared" si="49"/>
        <v>215713.5</v>
      </c>
      <c r="H136" s="488">
        <f t="shared" si="46"/>
        <v>61631.641659592671</v>
      </c>
      <c r="I136" s="542">
        <f t="shared" si="47"/>
        <v>61631.641659592671</v>
      </c>
      <c r="J136" s="478">
        <f t="shared" si="50"/>
        <v>0</v>
      </c>
      <c r="K136" s="478"/>
      <c r="L136" s="487"/>
      <c r="M136" s="478">
        <f t="shared" si="51"/>
        <v>0</v>
      </c>
      <c r="N136" s="487"/>
      <c r="O136" s="478">
        <f t="shared" si="52"/>
        <v>0</v>
      </c>
      <c r="P136" s="478">
        <f t="shared" si="53"/>
        <v>0</v>
      </c>
    </row>
    <row r="137" spans="2:16" ht="12.5">
      <c r="B137" s="160" t="str">
        <f t="shared" si="34"/>
        <v/>
      </c>
      <c r="C137" s="472">
        <f>IF(D93="","-",+C136+1)</f>
        <v>2046</v>
      </c>
      <c r="D137" s="346">
        <f>IF(F136+SUM(E$99:E136)=D$92,F136,D$92-SUM(E$99:E136))</f>
        <v>197171</v>
      </c>
      <c r="E137" s="486">
        <f>IF(+J96&lt;F136,J96,D137)</f>
        <v>37085</v>
      </c>
      <c r="F137" s="485">
        <f t="shared" si="48"/>
        <v>160086</v>
      </c>
      <c r="G137" s="485">
        <f t="shared" si="49"/>
        <v>178628.5</v>
      </c>
      <c r="H137" s="488">
        <f t="shared" si="46"/>
        <v>57411.635930020828</v>
      </c>
      <c r="I137" s="542">
        <f t="shared" si="47"/>
        <v>57411.635930020828</v>
      </c>
      <c r="J137" s="478">
        <f t="shared" si="50"/>
        <v>0</v>
      </c>
      <c r="K137" s="478"/>
      <c r="L137" s="487"/>
      <c r="M137" s="478">
        <f t="shared" si="51"/>
        <v>0</v>
      </c>
      <c r="N137" s="487"/>
      <c r="O137" s="478">
        <f t="shared" si="52"/>
        <v>0</v>
      </c>
      <c r="P137" s="478">
        <f t="shared" si="53"/>
        <v>0</v>
      </c>
    </row>
    <row r="138" spans="2:16" ht="12.5">
      <c r="B138" s="160" t="str">
        <f t="shared" si="34"/>
        <v/>
      </c>
      <c r="C138" s="472">
        <f>IF(D93="","-",+C137+1)</f>
        <v>2047</v>
      </c>
      <c r="D138" s="346">
        <f>IF(F137+SUM(E$99:E137)=D$92,F137,D$92-SUM(E$99:E137))</f>
        <v>160086</v>
      </c>
      <c r="E138" s="486">
        <f>IF(+J96&lt;F137,J96,D138)</f>
        <v>37085</v>
      </c>
      <c r="F138" s="485">
        <f t="shared" si="48"/>
        <v>123001</v>
      </c>
      <c r="G138" s="485">
        <f t="shared" si="49"/>
        <v>141543.5</v>
      </c>
      <c r="H138" s="488">
        <f t="shared" si="46"/>
        <v>53191.630200448999</v>
      </c>
      <c r="I138" s="542">
        <f t="shared" si="47"/>
        <v>53191.630200448999</v>
      </c>
      <c r="J138" s="478">
        <f t="shared" si="50"/>
        <v>0</v>
      </c>
      <c r="K138" s="478"/>
      <c r="L138" s="487"/>
      <c r="M138" s="478">
        <f t="shared" si="51"/>
        <v>0</v>
      </c>
      <c r="N138" s="487"/>
      <c r="O138" s="478">
        <f t="shared" si="52"/>
        <v>0</v>
      </c>
      <c r="P138" s="478">
        <f t="shared" si="53"/>
        <v>0</v>
      </c>
    </row>
    <row r="139" spans="2:16" ht="12.5">
      <c r="B139" s="160" t="str">
        <f t="shared" si="34"/>
        <v/>
      </c>
      <c r="C139" s="472">
        <f>IF(D93="","-",+C138+1)</f>
        <v>2048</v>
      </c>
      <c r="D139" s="346">
        <f>IF(F138+SUM(E$99:E138)=D$92,F138,D$92-SUM(E$99:E138))</f>
        <v>123001</v>
      </c>
      <c r="E139" s="486">
        <f>IF(+J96&lt;F138,J96,D139)</f>
        <v>37085</v>
      </c>
      <c r="F139" s="485">
        <f t="shared" si="48"/>
        <v>85916</v>
      </c>
      <c r="G139" s="485">
        <f t="shared" si="49"/>
        <v>104458.5</v>
      </c>
      <c r="H139" s="488">
        <f t="shared" si="46"/>
        <v>48971.624470877163</v>
      </c>
      <c r="I139" s="542">
        <f t="shared" si="47"/>
        <v>48971.624470877163</v>
      </c>
      <c r="J139" s="478">
        <f t="shared" si="50"/>
        <v>0</v>
      </c>
      <c r="K139" s="478"/>
      <c r="L139" s="487"/>
      <c r="M139" s="478">
        <f t="shared" si="51"/>
        <v>0</v>
      </c>
      <c r="N139" s="487"/>
      <c r="O139" s="478">
        <f t="shared" si="52"/>
        <v>0</v>
      </c>
      <c r="P139" s="478">
        <f t="shared" si="53"/>
        <v>0</v>
      </c>
    </row>
    <row r="140" spans="2:16" ht="12.5">
      <c r="B140" s="160" t="str">
        <f t="shared" si="34"/>
        <v/>
      </c>
      <c r="C140" s="472">
        <f>IF(D93="","-",+C139+1)</f>
        <v>2049</v>
      </c>
      <c r="D140" s="346">
        <f>IF(F139+SUM(E$99:E139)=D$92,F139,D$92-SUM(E$99:E139))</f>
        <v>85916</v>
      </c>
      <c r="E140" s="486">
        <f>IF(+J96&lt;F139,J96,D140)</f>
        <v>37085</v>
      </c>
      <c r="F140" s="485">
        <f t="shared" si="48"/>
        <v>48831</v>
      </c>
      <c r="G140" s="485">
        <f t="shared" si="49"/>
        <v>67373.5</v>
      </c>
      <c r="H140" s="488">
        <f t="shared" si="46"/>
        <v>44751.618741305327</v>
      </c>
      <c r="I140" s="542">
        <f t="shared" si="47"/>
        <v>44751.618741305327</v>
      </c>
      <c r="J140" s="478">
        <f t="shared" si="50"/>
        <v>0</v>
      </c>
      <c r="K140" s="478"/>
      <c r="L140" s="487"/>
      <c r="M140" s="478">
        <f t="shared" si="51"/>
        <v>0</v>
      </c>
      <c r="N140" s="487"/>
      <c r="O140" s="478">
        <f t="shared" si="52"/>
        <v>0</v>
      </c>
      <c r="P140" s="478">
        <f t="shared" si="53"/>
        <v>0</v>
      </c>
    </row>
    <row r="141" spans="2:16" ht="12.5">
      <c r="B141" s="160" t="str">
        <f t="shared" si="34"/>
        <v/>
      </c>
      <c r="C141" s="472">
        <f>IF(D93="","-",+C140+1)</f>
        <v>2050</v>
      </c>
      <c r="D141" s="346">
        <f>IF(F140+SUM(E$99:E140)=D$92,F140,D$92-SUM(E$99:E140))</f>
        <v>48831</v>
      </c>
      <c r="E141" s="486">
        <f>IF(+J96&lt;F140,J96,D141)</f>
        <v>37085</v>
      </c>
      <c r="F141" s="485">
        <f t="shared" si="48"/>
        <v>11746</v>
      </c>
      <c r="G141" s="485">
        <f t="shared" si="49"/>
        <v>30288.5</v>
      </c>
      <c r="H141" s="488">
        <f t="shared" si="46"/>
        <v>40531.613011733491</v>
      </c>
      <c r="I141" s="542">
        <f t="shared" si="47"/>
        <v>40531.613011733491</v>
      </c>
      <c r="J141" s="478">
        <f t="shared" si="50"/>
        <v>0</v>
      </c>
      <c r="K141" s="478"/>
      <c r="L141" s="487"/>
      <c r="M141" s="478">
        <f t="shared" si="51"/>
        <v>0</v>
      </c>
      <c r="N141" s="487"/>
      <c r="O141" s="478">
        <f t="shared" si="52"/>
        <v>0</v>
      </c>
      <c r="P141" s="478">
        <f t="shared" si="53"/>
        <v>0</v>
      </c>
    </row>
    <row r="142" spans="2:16" ht="12.5">
      <c r="B142" s="160" t="str">
        <f t="shared" si="34"/>
        <v/>
      </c>
      <c r="C142" s="472">
        <f>IF(D93="","-",+C141+1)</f>
        <v>2051</v>
      </c>
      <c r="D142" s="346">
        <f>IF(F141+SUM(E$99:E141)=D$92,F141,D$92-SUM(E$99:E141))</f>
        <v>11746</v>
      </c>
      <c r="E142" s="486">
        <f>IF(+J96&lt;F141,J96,D142)</f>
        <v>11746</v>
      </c>
      <c r="F142" s="485">
        <f t="shared" si="48"/>
        <v>0</v>
      </c>
      <c r="G142" s="485">
        <f t="shared" si="49"/>
        <v>5873</v>
      </c>
      <c r="H142" s="488">
        <f t="shared" si="46"/>
        <v>12414.305073473786</v>
      </c>
      <c r="I142" s="542">
        <f t="shared" si="47"/>
        <v>12414.305073473786</v>
      </c>
      <c r="J142" s="478">
        <f t="shared" si="50"/>
        <v>0</v>
      </c>
      <c r="K142" s="478"/>
      <c r="L142" s="487"/>
      <c r="M142" s="478">
        <f t="shared" si="51"/>
        <v>0</v>
      </c>
      <c r="N142" s="487"/>
      <c r="O142" s="478">
        <f t="shared" si="52"/>
        <v>0</v>
      </c>
      <c r="P142" s="478">
        <f t="shared" si="53"/>
        <v>0</v>
      </c>
    </row>
    <row r="143" spans="2:16" ht="12.5">
      <c r="B143" s="160" t="str">
        <f t="shared" si="34"/>
        <v/>
      </c>
      <c r="C143" s="472">
        <f>IF(D93="","-",+C142+1)</f>
        <v>2052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8"/>
        <v>0</v>
      </c>
      <c r="G143" s="485">
        <f t="shared" si="49"/>
        <v>0</v>
      </c>
      <c r="H143" s="488">
        <f t="shared" si="46"/>
        <v>0</v>
      </c>
      <c r="I143" s="542">
        <f t="shared" si="47"/>
        <v>0</v>
      </c>
      <c r="J143" s="478">
        <f t="shared" si="50"/>
        <v>0</v>
      </c>
      <c r="K143" s="478"/>
      <c r="L143" s="487"/>
      <c r="M143" s="478">
        <f t="shared" si="51"/>
        <v>0</v>
      </c>
      <c r="N143" s="487"/>
      <c r="O143" s="478">
        <f t="shared" si="52"/>
        <v>0</v>
      </c>
      <c r="P143" s="478">
        <f t="shared" si="53"/>
        <v>0</v>
      </c>
    </row>
    <row r="144" spans="2:16" ht="12.5">
      <c r="B144" s="160" t="str">
        <f t="shared" si="34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8"/>
        <v>0</v>
      </c>
      <c r="G144" s="485">
        <f t="shared" si="49"/>
        <v>0</v>
      </c>
      <c r="H144" s="488">
        <f t="shared" si="46"/>
        <v>0</v>
      </c>
      <c r="I144" s="542">
        <f t="shared" si="47"/>
        <v>0</v>
      </c>
      <c r="J144" s="478">
        <f t="shared" si="50"/>
        <v>0</v>
      </c>
      <c r="K144" s="478"/>
      <c r="L144" s="487"/>
      <c r="M144" s="478">
        <f t="shared" si="51"/>
        <v>0</v>
      </c>
      <c r="N144" s="487"/>
      <c r="O144" s="478">
        <f t="shared" si="52"/>
        <v>0</v>
      </c>
      <c r="P144" s="478">
        <f t="shared" si="53"/>
        <v>0</v>
      </c>
    </row>
    <row r="145" spans="2:16" ht="12.5">
      <c r="B145" s="160" t="str">
        <f t="shared" si="34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8"/>
        <v>0</v>
      </c>
      <c r="G145" s="485">
        <f t="shared" si="49"/>
        <v>0</v>
      </c>
      <c r="H145" s="488">
        <f t="shared" si="46"/>
        <v>0</v>
      </c>
      <c r="I145" s="542">
        <f t="shared" si="47"/>
        <v>0</v>
      </c>
      <c r="J145" s="478">
        <f t="shared" si="50"/>
        <v>0</v>
      </c>
      <c r="K145" s="478"/>
      <c r="L145" s="487"/>
      <c r="M145" s="478">
        <f t="shared" si="51"/>
        <v>0</v>
      </c>
      <c r="N145" s="487"/>
      <c r="O145" s="478">
        <f t="shared" si="52"/>
        <v>0</v>
      </c>
      <c r="P145" s="478">
        <f t="shared" si="53"/>
        <v>0</v>
      </c>
    </row>
    <row r="146" spans="2:16" ht="12.5">
      <c r="B146" s="160" t="str">
        <f t="shared" si="34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8"/>
        <v>0</v>
      </c>
      <c r="G146" s="485">
        <f t="shared" si="49"/>
        <v>0</v>
      </c>
      <c r="H146" s="488">
        <f t="shared" si="46"/>
        <v>0</v>
      </c>
      <c r="I146" s="542">
        <f t="shared" si="47"/>
        <v>0</v>
      </c>
      <c r="J146" s="478">
        <f t="shared" si="50"/>
        <v>0</v>
      </c>
      <c r="K146" s="478"/>
      <c r="L146" s="487"/>
      <c r="M146" s="478">
        <f t="shared" si="51"/>
        <v>0</v>
      </c>
      <c r="N146" s="487"/>
      <c r="O146" s="478">
        <f t="shared" si="52"/>
        <v>0</v>
      </c>
      <c r="P146" s="478">
        <f t="shared" si="53"/>
        <v>0</v>
      </c>
    </row>
    <row r="147" spans="2:16" ht="12.5">
      <c r="B147" s="160" t="str">
        <f t="shared" si="34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8"/>
        <v>0</v>
      </c>
      <c r="G147" s="485">
        <f t="shared" si="49"/>
        <v>0</v>
      </c>
      <c r="H147" s="488">
        <f t="shared" si="46"/>
        <v>0</v>
      </c>
      <c r="I147" s="542">
        <f t="shared" si="47"/>
        <v>0</v>
      </c>
      <c r="J147" s="478">
        <f t="shared" si="50"/>
        <v>0</v>
      </c>
      <c r="K147" s="478"/>
      <c r="L147" s="487"/>
      <c r="M147" s="478">
        <f t="shared" si="51"/>
        <v>0</v>
      </c>
      <c r="N147" s="487"/>
      <c r="O147" s="478">
        <f t="shared" si="52"/>
        <v>0</v>
      </c>
      <c r="P147" s="478">
        <f t="shared" si="53"/>
        <v>0</v>
      </c>
    </row>
    <row r="148" spans="2:16" ht="12.5">
      <c r="B148" s="160" t="str">
        <f t="shared" si="34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8"/>
        <v>0</v>
      </c>
      <c r="G148" s="485">
        <f t="shared" si="49"/>
        <v>0</v>
      </c>
      <c r="H148" s="488">
        <f t="shared" si="46"/>
        <v>0</v>
      </c>
      <c r="I148" s="542">
        <f t="shared" si="47"/>
        <v>0</v>
      </c>
      <c r="J148" s="478">
        <f t="shared" si="50"/>
        <v>0</v>
      </c>
      <c r="K148" s="478"/>
      <c r="L148" s="487"/>
      <c r="M148" s="478">
        <f t="shared" si="51"/>
        <v>0</v>
      </c>
      <c r="N148" s="487"/>
      <c r="O148" s="478">
        <f t="shared" si="52"/>
        <v>0</v>
      </c>
      <c r="P148" s="478">
        <f t="shared" si="53"/>
        <v>0</v>
      </c>
    </row>
    <row r="149" spans="2:16" ht="12.5">
      <c r="B149" s="160" t="str">
        <f t="shared" si="34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8"/>
        <v>0</v>
      </c>
      <c r="G149" s="485">
        <f t="shared" si="49"/>
        <v>0</v>
      </c>
      <c r="H149" s="488">
        <f t="shared" si="46"/>
        <v>0</v>
      </c>
      <c r="I149" s="542">
        <f t="shared" si="47"/>
        <v>0</v>
      </c>
      <c r="J149" s="478">
        <f t="shared" si="50"/>
        <v>0</v>
      </c>
      <c r="K149" s="478"/>
      <c r="L149" s="487"/>
      <c r="M149" s="478">
        <f t="shared" si="51"/>
        <v>0</v>
      </c>
      <c r="N149" s="487"/>
      <c r="O149" s="478">
        <f t="shared" si="52"/>
        <v>0</v>
      </c>
      <c r="P149" s="478">
        <f t="shared" si="53"/>
        <v>0</v>
      </c>
    </row>
    <row r="150" spans="2:16" ht="12.5">
      <c r="B150" s="160" t="str">
        <f t="shared" si="34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8"/>
        <v>0</v>
      </c>
      <c r="G150" s="485">
        <f t="shared" si="49"/>
        <v>0</v>
      </c>
      <c r="H150" s="488">
        <f t="shared" si="46"/>
        <v>0</v>
      </c>
      <c r="I150" s="542">
        <f t="shared" si="47"/>
        <v>0</v>
      </c>
      <c r="J150" s="478">
        <f t="shared" si="50"/>
        <v>0</v>
      </c>
      <c r="K150" s="478"/>
      <c r="L150" s="487"/>
      <c r="M150" s="478">
        <f t="shared" si="51"/>
        <v>0</v>
      </c>
      <c r="N150" s="487"/>
      <c r="O150" s="478">
        <f t="shared" si="52"/>
        <v>0</v>
      </c>
      <c r="P150" s="478">
        <f t="shared" si="53"/>
        <v>0</v>
      </c>
    </row>
    <row r="151" spans="2:16" ht="12.5">
      <c r="B151" s="160" t="str">
        <f t="shared" si="34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8"/>
        <v>0</v>
      </c>
      <c r="G151" s="485">
        <f t="shared" si="49"/>
        <v>0</v>
      </c>
      <c r="H151" s="488">
        <f t="shared" si="46"/>
        <v>0</v>
      </c>
      <c r="I151" s="542">
        <f t="shared" si="47"/>
        <v>0</v>
      </c>
      <c r="J151" s="478">
        <f t="shared" si="50"/>
        <v>0</v>
      </c>
      <c r="K151" s="478"/>
      <c r="L151" s="487"/>
      <c r="M151" s="478">
        <f t="shared" si="51"/>
        <v>0</v>
      </c>
      <c r="N151" s="487"/>
      <c r="O151" s="478">
        <f t="shared" si="52"/>
        <v>0</v>
      </c>
      <c r="P151" s="478">
        <f t="shared" si="53"/>
        <v>0</v>
      </c>
    </row>
    <row r="152" spans="2:16" ht="12.5">
      <c r="B152" s="160" t="str">
        <f t="shared" si="34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8"/>
        <v>0</v>
      </c>
      <c r="G152" s="485">
        <f t="shared" si="49"/>
        <v>0</v>
      </c>
      <c r="H152" s="488">
        <f t="shared" si="46"/>
        <v>0</v>
      </c>
      <c r="I152" s="542">
        <f t="shared" si="47"/>
        <v>0</v>
      </c>
      <c r="J152" s="478">
        <f t="shared" si="50"/>
        <v>0</v>
      </c>
      <c r="K152" s="478"/>
      <c r="L152" s="487"/>
      <c r="M152" s="478">
        <f t="shared" si="51"/>
        <v>0</v>
      </c>
      <c r="N152" s="487"/>
      <c r="O152" s="478">
        <f t="shared" si="52"/>
        <v>0</v>
      </c>
      <c r="P152" s="478">
        <f t="shared" si="53"/>
        <v>0</v>
      </c>
    </row>
    <row r="153" spans="2:16" ht="12.5">
      <c r="B153" s="160" t="str">
        <f t="shared" si="34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8"/>
        <v>0</v>
      </c>
      <c r="G153" s="485">
        <f t="shared" si="49"/>
        <v>0</v>
      </c>
      <c r="H153" s="488">
        <f t="shared" si="46"/>
        <v>0</v>
      </c>
      <c r="I153" s="542">
        <f t="shared" si="47"/>
        <v>0</v>
      </c>
      <c r="J153" s="478">
        <f t="shared" si="50"/>
        <v>0</v>
      </c>
      <c r="K153" s="478"/>
      <c r="L153" s="487"/>
      <c r="M153" s="478">
        <f t="shared" si="51"/>
        <v>0</v>
      </c>
      <c r="N153" s="487"/>
      <c r="O153" s="478">
        <f t="shared" si="52"/>
        <v>0</v>
      </c>
      <c r="P153" s="478">
        <f t="shared" si="53"/>
        <v>0</v>
      </c>
    </row>
    <row r="154" spans="2:16" ht="13" thickBot="1">
      <c r="B154" s="160" t="str">
        <f t="shared" si="34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8"/>
        <v>0</v>
      </c>
      <c r="G154" s="490">
        <f t="shared" si="49"/>
        <v>0</v>
      </c>
      <c r="H154" s="492">
        <f t="shared" si="46"/>
        <v>0</v>
      </c>
      <c r="I154" s="545">
        <f t="shared" si="47"/>
        <v>0</v>
      </c>
      <c r="J154" s="495">
        <f t="shared" si="50"/>
        <v>0</v>
      </c>
      <c r="K154" s="478"/>
      <c r="L154" s="494"/>
      <c r="M154" s="495">
        <f t="shared" si="51"/>
        <v>0</v>
      </c>
      <c r="N154" s="494"/>
      <c r="O154" s="495">
        <f t="shared" si="52"/>
        <v>0</v>
      </c>
      <c r="P154" s="495">
        <f t="shared" si="53"/>
        <v>0</v>
      </c>
    </row>
    <row r="155" spans="2:16" ht="12.5">
      <c r="C155" s="346" t="s">
        <v>77</v>
      </c>
      <c r="D155" s="347"/>
      <c r="E155" s="347">
        <f>SUM(E99:E154)</f>
        <v>1520502</v>
      </c>
      <c r="F155" s="347"/>
      <c r="G155" s="347"/>
      <c r="H155" s="347">
        <f>SUM(H99:H154)</f>
        <v>5699845.5221610274</v>
      </c>
      <c r="I155" s="347">
        <f>SUM(I99:I154)</f>
        <v>5699845.5221610274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 ht="12.5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 ht="12.5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 ht="13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 ht="13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 ht="13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 ht="13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7.5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k5OTg5PC9Vc2VyTmFtZT48RGF0ZVRpbWU+MTAvMTEvMjAyMiAzOjEzOjQx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BCD4ECD-520F-43A6-875C-F755636A54D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0F34FF4-3D60-4A47-9BAC-50D8A1E5956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28</vt:i4>
      </vt:variant>
    </vt:vector>
  </HeadingPairs>
  <TitlesOfParts>
    <vt:vector size="63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P.030</vt:lpstr>
      <vt:lpstr>P.031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s349016</cp:lastModifiedBy>
  <cp:lastPrinted>2021-11-01T14:32:39Z</cp:lastPrinted>
  <dcterms:created xsi:type="dcterms:W3CDTF">2009-05-11T14:02:48Z</dcterms:created>
  <dcterms:modified xsi:type="dcterms:W3CDTF">2022-10-31T14:41:02Z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9c9446c6-c09d-4578-91e9-dbf9e47c0c39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{5BCD4ECD-520F-43A6-875C-F755636A54D2}</vt:lpwstr>
  </property>
</Properties>
</file>